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6" documentId="13_ncr:1_{ECBC17BF-AD08-4748-9996-866F8AD9D2F8}" xr6:coauthVersionLast="47" xr6:coauthVersionMax="47" xr10:uidLastSave="{3B24A425-3A2E-450A-9976-ECCE15BF32A9}"/>
  <workbookProtection workbookAlgorithmName="SHA-512" workbookHashValue="psAkuMuRNePV/Y8MVXTXgJ3qK6i+/wVN7/KEJdcQYqZGuyWvZfOrKwMgWFN5RaKJXvQm7BJ4xxp9b69miS3siQ==" workbookSaltValue="qngAa3rwepHGZApZzbIHZQ==" workbookSpinCount="100000" lockStructure="1"/>
  <bookViews>
    <workbookView xWindow="-108" yWindow="-108" windowWidth="23256" windowHeight="14976" tabRatio="697"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A11" i="7" a="1"/>
  <c r="A11" i="7" s="1"/>
  <c r="A65" i="7"/>
  <c r="A66" i="7" s="1"/>
  <c r="A67" i="7" s="1"/>
  <c r="A68" i="7" s="1"/>
  <c r="A69" i="7" s="1"/>
  <c r="A70" i="7" s="1"/>
  <c r="A71" i="7" s="1"/>
  <c r="A72" i="7" s="1"/>
  <c r="A73" i="7" s="1"/>
  <c r="A74" i="7" s="1"/>
  <c r="A75" i="7" s="1"/>
  <c r="A76" i="7" s="1"/>
  <c r="A51" i="7"/>
  <c r="A52" i="7" s="1"/>
  <c r="A53" i="7" s="1"/>
  <c r="A54" i="7" s="1"/>
  <c r="A55" i="7" s="1"/>
  <c r="A56" i="7" s="1"/>
  <c r="A57" i="7" s="1"/>
  <c r="A58" i="7" s="1"/>
  <c r="A59" i="7" s="1"/>
  <c r="A60" i="7" s="1"/>
  <c r="A61" i="7" s="1"/>
  <c r="A62" i="7" s="1"/>
  <c r="A63" i="7" s="1"/>
  <c r="D6" i="17" l="1"/>
  <c r="C6" i="17"/>
  <c r="B6" i="17"/>
  <c r="A6" i="17"/>
  <c r="B14" i="16"/>
  <c r="B5" i="8"/>
  <c r="B4" i="8"/>
  <c r="B2" i="8"/>
  <c r="A40" i="7"/>
  <c r="A41" i="7" s="1"/>
  <c r="A42" i="7" s="1"/>
  <c r="A43" i="7" s="1"/>
  <c r="A44" i="7" s="1"/>
  <c r="A45" i="7" s="1"/>
  <c r="A46" i="7" s="1"/>
  <c r="A47" i="7" s="1"/>
  <c r="A48" i="7" s="1"/>
  <c r="A49" i="7" s="1"/>
  <c r="A32" i="7"/>
  <c r="A33" i="7" s="1"/>
  <c r="A34" i="7" s="1"/>
  <c r="A35" i="7" s="1"/>
  <c r="A36" i="7" s="1"/>
  <c r="A37" i="7" s="1"/>
  <c r="A38" i="7" s="1"/>
  <c r="A22" i="7"/>
  <c r="A23" i="7" s="1"/>
  <c r="A24" i="7" s="1"/>
  <c r="A25" i="7" s="1"/>
  <c r="A26" i="7" s="1"/>
  <c r="A27" i="7" s="1"/>
  <c r="A28" i="7" s="1"/>
  <c r="A29" i="7" s="1"/>
  <c r="A30" i="7" s="1"/>
  <c r="C16" i="15" l="1"/>
  <c r="C2" i="16"/>
  <c r="C1" i="16"/>
  <c r="J2" i="8" l="1"/>
  <c r="J3" i="8" l="1"/>
  <c r="D24" i="8" s="1"/>
  <c r="D25" i="8" s="1"/>
  <c r="I2" i="8"/>
  <c r="I3" i="8" s="1"/>
  <c r="B8" i="2" l="1"/>
  <c r="C13" i="15" l="1"/>
  <c r="C10" i="15"/>
  <c r="C2" i="15"/>
  <c r="C1" i="15"/>
  <c r="E2" i="7"/>
  <c r="E2" i="2"/>
  <c r="B23" i="8" l="1"/>
  <c r="E1" i="7"/>
  <c r="C24" i="8" l="1"/>
  <c r="B24" i="8"/>
  <c r="B25" i="8" s="1"/>
  <c r="B3" i="8" l="1"/>
  <c r="E1" i="2"/>
  <c r="O17" i="8" l="1"/>
  <c r="R19" i="8"/>
  <c r="C17" i="8"/>
  <c r="C15" i="8" l="1"/>
  <c r="C16" i="8"/>
  <c r="O16" i="8"/>
  <c r="O15" i="8"/>
  <c r="O13" i="8" s="1"/>
  <c r="O14" i="8" s="1"/>
  <c r="D17" i="8"/>
  <c r="R17" i="8"/>
  <c r="M19" i="8"/>
  <c r="E19" i="8"/>
  <c r="D19" i="8"/>
  <c r="N17" i="8"/>
  <c r="C19" i="8"/>
  <c r="G19" i="8"/>
  <c r="F19" i="8"/>
  <c r="E17" i="8"/>
  <c r="H19" i="8"/>
  <c r="O19" i="8"/>
  <c r="G17" i="8"/>
  <c r="H17" i="8"/>
  <c r="K17" i="8"/>
  <c r="N19" i="8"/>
  <c r="P17" i="8"/>
  <c r="L17" i="8"/>
  <c r="Q19" i="8"/>
  <c r="L19" i="8"/>
  <c r="J19" i="8"/>
  <c r="J17" i="8"/>
  <c r="M17" i="8"/>
  <c r="Q17" i="8"/>
  <c r="I17" i="8"/>
  <c r="I19" i="8"/>
  <c r="K19" i="8"/>
  <c r="F17" i="8"/>
  <c r="P19" i="8"/>
  <c r="C13" i="8" l="1"/>
  <c r="C14" i="8" s="1"/>
  <c r="F16" i="8"/>
  <c r="F15" i="8"/>
  <c r="L15" i="8"/>
  <c r="L16" i="8"/>
  <c r="E15" i="8"/>
  <c r="E16" i="8"/>
  <c r="R16" i="8"/>
  <c r="R15" i="8"/>
  <c r="I16" i="8"/>
  <c r="I15" i="8"/>
  <c r="P16" i="8"/>
  <c r="P15" i="8"/>
  <c r="D16" i="8"/>
  <c r="D15" i="8"/>
  <c r="Q15" i="8"/>
  <c r="Q13" i="8" s="1"/>
  <c r="Q14" i="8" s="1"/>
  <c r="Q16" i="8"/>
  <c r="M15" i="8"/>
  <c r="M16" i="8"/>
  <c r="K16" i="8"/>
  <c r="K15" i="8"/>
  <c r="K13" i="8" s="1"/>
  <c r="K14" i="8" s="1"/>
  <c r="H16" i="8"/>
  <c r="H15" i="8"/>
  <c r="H13" i="8" s="1"/>
  <c r="H14" i="8" s="1"/>
  <c r="N16" i="8"/>
  <c r="N15" i="8"/>
  <c r="J16" i="8"/>
  <c r="J15" i="8"/>
  <c r="J13" i="8" s="1"/>
  <c r="J14" i="8" s="1"/>
  <c r="G16" i="8"/>
  <c r="G15" i="8"/>
  <c r="G13" i="8" l="1"/>
  <c r="G14" i="8" s="1"/>
  <c r="F13" i="8"/>
  <c r="F14" i="8" s="1"/>
  <c r="D13" i="8"/>
  <c r="D14" i="8" s="1"/>
  <c r="M13" i="8"/>
  <c r="M14" i="8" s="1"/>
  <c r="N13" i="8"/>
  <c r="N14" i="8" s="1"/>
  <c r="R13" i="8"/>
  <c r="R14" i="8" s="1"/>
  <c r="A10" i="7"/>
  <c r="E13" i="8"/>
  <c r="E14" i="8" s="1"/>
  <c r="P13" i="8"/>
  <c r="P14" i="8" s="1"/>
  <c r="L13" i="8"/>
  <c r="L14" i="8" s="1"/>
  <c r="I13" i="8"/>
  <c r="I14" i="8" s="1"/>
  <c r="B10" i="7" l="1"/>
  <c r="C23" i="8"/>
  <c r="C25" i="8" s="1"/>
  <c r="E25" i="8" s="1"/>
  <c r="B11" i="7"/>
  <c r="B13" i="8" a="1"/>
  <c r="B13" i="8" s="1"/>
  <c r="F2" i="8" l="1"/>
  <c r="N2" i="8" s="1"/>
  <c r="B16" i="8"/>
  <c r="F5" i="8" s="1"/>
  <c r="B15" i="8"/>
  <c r="F4" i="8" s="1"/>
  <c r="B14" i="8"/>
  <c r="F3" i="8" s="1"/>
  <c r="N3" i="8" s="1"/>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20" authorId="0" shapeId="0" xr:uid="{17BF33FA-46F6-4A18-9B83-E2F6E1CE23F2}">
      <text>
        <r>
          <rPr>
            <b/>
            <sz val="9"/>
            <color indexed="81"/>
            <rFont val="Tahoma"/>
            <family val="2"/>
          </rPr>
          <t>IMDA:</t>
        </r>
        <r>
          <rPr>
            <sz val="9"/>
            <color indexed="81"/>
            <rFont val="Tahoma"/>
            <family val="2"/>
          </rPr>
          <t xml:space="preserve">
This indicates if a Requirement is Mandatory or Preferred.</t>
        </r>
      </text>
    </comment>
    <comment ref="D20"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20" authorId="0" shapeId="0" xr:uid="{92B9E81B-B2CB-495E-BE93-764588430B18}">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<sst xmlns="http://schemas.openxmlformats.org/spreadsheetml/2006/main" count="358" uniqueCount="149">
  <si>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</si>
  <si>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</si>
  <si>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</si>
  <si>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</si>
  <si>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</si>
  <si>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</si>
  <si>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</si>
  <si>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</si>
  <si>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</si>
  <si>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</si>
  <si>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</si>
  <si>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</si>
  <si>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</si>
  <si>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</si>
  <si>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</si>
  <si>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</si>
  <si>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</si>
  <si>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</si>
  <si>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</si>
  <si>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</si>
  <si>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</si>
  <si>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</si>
  <si>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</si>
  <si>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</si>
  <si>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</si>
  <si>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</si>
  <si>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</si>
  <si>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Return to the top</t>
  </si>
  <si>
    <t>Preferred</t>
  </si>
  <si>
    <t xml:space="preserve">Describe how your solution can meet the solution criteria in each row. </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</si>
  <si>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</si>
  <si>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</si>
  <si>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</si>
  <si>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</si>
  <si>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</si>
  <si>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</si>
  <si>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</si>
  <si>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</si>
  <si>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</si>
  <si>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</si>
  <si>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</si>
  <si>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</si>
  <si>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</si>
  <si>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</si>
  <si>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</si>
  <si>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</si>
  <si>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</si>
  <si>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</si>
  <si>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</si>
  <si>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</si>
  <si>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</si>
  <si>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</si>
  <si>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</si>
  <si>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</si>
  <si>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</si>
  <si>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</si>
  <si>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</si>
  <si>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</si>
  <si>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</si>
  <si>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</si>
  <si>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</si>
  <si>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</si>
  <si>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</si>
  <si>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</si>
  <si>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</si>
  <si>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</si>
  <si>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</si>
  <si>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</si>
  <si>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</si>
  <si>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</si>
  <si>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</si>
  <si>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**Row values should be equal to "purple" row</t>
  </si>
  <si>
    <t>Otherwise, check for errors to ensure that chart in solution Category will work.</t>
  </si>
  <si>
    <t>Mobile-Enabled Patrol and Incident Management</t>
  </si>
  <si>
    <t>Automated Visitor Management</t>
  </si>
  <si>
    <t>Onsite Surveillance and Analytics</t>
  </si>
  <si>
    <r>
      <rPr>
        <b/>
        <sz val="11"/>
        <color theme="1"/>
        <rFont val="Calibri"/>
        <family val="2"/>
        <scheme val="minor"/>
      </rPr>
      <t>Solution Category:</t>
    </r>
    <r>
      <rPr>
        <sz val="11"/>
        <color theme="1"/>
        <rFont val="Calibri"/>
        <family val="2"/>
        <scheme val="minor"/>
      </rPr>
      <t xml:space="preserve"> Mobile-Enabled Patrol and Incident Management
</t>
    </r>
    <r>
      <rPr>
        <b/>
        <sz val="11"/>
        <color theme="1"/>
        <rFont val="Calibri"/>
        <family val="2"/>
        <scheme val="minor"/>
      </rPr>
      <t xml:space="preserve">Solution Category Description: </t>
    </r>
    <r>
      <rPr>
        <sz val="11"/>
        <color theme="1"/>
        <rFont val="Calibri"/>
        <family val="2"/>
        <scheme val="minor"/>
      </rPr>
      <t>Enables mobile work assignment and reporting with real-time tracking, reporting and communication. Organises, tracks and manages patrol activities, resources, routes, and documentation.</t>
    </r>
  </si>
  <si>
    <t>Does your solution allow mobile access for attendance, patrol and incident management for security officers?</t>
  </si>
  <si>
    <t xml:space="preserve">Does your solution come with a guard tour management module to log the activities of the security officers performing their patrolling duty? </t>
  </si>
  <si>
    <t xml:space="preserve">Does your solution come with an incident management module to allow security officer to report and investigate incidents including documentation such as documents, photos, videos etc. on who, what, where and when for each incident; and allow these documentations to be submitted electronically for each incident? </t>
  </si>
  <si>
    <t xml:space="preserve">Does your solution come with an attendance management module to keep track of the security officer's attendance for the purpose of computing working hours and/or salaries? </t>
  </si>
  <si>
    <t>Does your solution allow for cloud based, mobile based and/or web-based usage?</t>
  </si>
  <si>
    <t>Does your solution have the ability to allow supervision of multiple sites / teams (including location tracking) remotely through a centralised command centre?</t>
  </si>
  <si>
    <t>Does your solution come with the option to provide the necessary hardware (e.g. wearable technology such as body worn camera, comms sets, GPS device, integrated IoT devices etc.) to augment patrolling duties?</t>
  </si>
  <si>
    <t>Does your solution allow prebuilt integration tools/connector with other enterprise applications?</t>
  </si>
  <si>
    <r>
      <rPr>
        <b/>
        <sz val="11"/>
        <color theme="1"/>
        <rFont val="Calibri"/>
        <family val="2"/>
        <scheme val="minor"/>
      </rPr>
      <t>Solution Category</t>
    </r>
    <r>
      <rPr>
        <sz val="11"/>
        <color theme="1"/>
        <rFont val="Calibri"/>
        <family val="2"/>
        <scheme val="minor"/>
      </rPr>
      <t xml:space="preserve">: Automated Visitor Management
</t>
    </r>
    <r>
      <rPr>
        <b/>
        <sz val="11"/>
        <color theme="1"/>
        <rFont val="Calibri"/>
        <family val="2"/>
        <scheme val="minor"/>
      </rPr>
      <t xml:space="preserve">Solution Category Description: </t>
    </r>
    <r>
      <rPr>
        <sz val="11"/>
        <color theme="1"/>
        <rFont val="Calibri"/>
        <family val="2"/>
        <scheme val="minor"/>
      </rPr>
      <t>Controls facility access with automated visitor registration. Optional features include biometrics, car plate recognition and integration with facility access control systems can prevent unauthorised entry.</t>
    </r>
  </si>
  <si>
    <t xml:space="preserve">Does your solution allow organisation to automate the entire process of registering a visitor, capturing detailed visitor information such as name, partial identification number, photo and other forms of biometric data  and/or issuing of visitor pass for access to the organisation’s premise? </t>
  </si>
  <si>
    <t xml:space="preserve">Does your solution come with blacklisting and whitelisting functionality? </t>
  </si>
  <si>
    <t>Does your solution incorporate functions that support the mandatory requirements under the tab on Personal Data Protection?</t>
  </si>
  <si>
    <t>Does your solution allow integration with the access control system within the organisation's premise?</t>
  </si>
  <si>
    <t>Does your solution allow organisation to automate the entire process of registering vehicles, capturing vehicle details (e.g. license plate number, driver details, contact number) and managing carpark control for access to the organisation's premise?</t>
  </si>
  <si>
    <r>
      <rPr>
        <b/>
        <sz val="11"/>
        <color theme="1"/>
        <rFont val="Calibri"/>
        <family val="2"/>
        <scheme val="minor"/>
      </rPr>
      <t xml:space="preserve">Solution Category: </t>
    </r>
    <r>
      <rPr>
        <sz val="11"/>
        <color theme="1"/>
        <rFont val="Calibri"/>
        <family val="2"/>
        <scheme val="minor"/>
      </rPr>
      <t xml:space="preserve">Onsite Surveillance and Analytics
</t>
    </r>
    <r>
      <rPr>
        <b/>
        <sz val="11"/>
        <color theme="1"/>
        <rFont val="Calibri"/>
        <family val="2"/>
        <scheme val="minor"/>
      </rPr>
      <t xml:space="preserve">Solution Category Description: </t>
    </r>
    <r>
      <rPr>
        <sz val="11"/>
        <color theme="1"/>
        <rFont val="Calibri"/>
        <family val="2"/>
        <scheme val="minor"/>
      </rPr>
      <t>IP-enabled video cameras augmented with analytics to detect security incidents and enhance onsite security monitoring.</t>
    </r>
  </si>
  <si>
    <t>Does your solution enable on-site monitoring through IP-enabled Video Camera?</t>
  </si>
  <si>
    <t>Does your solution provide video search function to speed up surveillance footage review?</t>
  </si>
  <si>
    <t xml:space="preserve">Does your solution provide at least three of the following real-time video analytics functions on the edge? It is mandatory to include the core functions (i) and (ii) indicated below:
i. [CORE] Intrusion Detection Module – Allows defining of high security zones, and triggers automated alerts to the command centre operative when intruders are detected, which is useful for night guarding. 
ii. [CORE] Camera Tampering Module – Ensures that cameras are working by alerting if views are blocked or out of focus to ensure 24/7 surveillance.
iii. Loitering Detection Module – Detects loitering activities by tracking the amount of time visitors spend within an area, e.g. security sensitive areas.
iv. People Counting Module – Count the number of people that walk in and out of premises such as retail mall, office or industrial site, so as to ascertain the number of people in buildings for fire or crowd management.
v. Crowd Density Module – Measure the crowd level and track overall activity level within an area. This enables the command centre operative to detect anomaly events across multiple screens. 
vi. Face Indexing Module – Analyse video for human faces captured and stored according to time and duration. This enables automated data collation and helps in investigative work. 
vii. Occupancy / Trip Wire Counting Module – Allows limiting the number of visitors in an area and alerts command centre operative if it has exceeded.
viii. Human Traffic Flow Module – Track people movement (activity) across different regions to gather footfall traffic patterns.
ix. Audience Profiling Module – Identifies age, gender and whether the target is smiling, to help the command centre operative understand the crowd profile.
x. Queue Counting Module – Analyse video to detect and count the number of people in a queue. 
xi.  License Plate Recognition Module – Analyse video for license plates captured and stored according to the date and time of entry.
xii. Face Recognition Module – Face Recognition involves identifying individual human faces in digital images. This enables automated data collation and helps in investigative work.
Please specify included functions in the comment section.   </t>
  </si>
  <si>
    <t>Does your solution send out real-time alert triggered by pre-defined video events?</t>
  </si>
  <si>
    <t>Does your solution support Secure Sockets Layer (SSL) or other Encrypted Communication Layers between the Video cameras and the Video camera Gateway?</t>
  </si>
  <si>
    <t xml:space="preserve">Does your solution automate immediate deployment of resources to manage an incident detected through the surveillance system? </t>
  </si>
  <si>
    <t xml:space="preserve">Does your solution come with machine learning / analytics capability across multiple video camera feeds for risk / threat detection / prediction? If yes, please elaborate in the comment section on the threat detection / prediction that your solution can do. </t>
  </si>
  <si>
    <t xml:space="preserve">Does your solution provide hardware sub-system(s) deployed on-site to enable a decentralized architecture and remote surveillance? </t>
  </si>
  <si>
    <t>Vendor Self-Assessment Checklist for Pre-Approval of Digital Solution: Security</t>
  </si>
  <si>
    <t>Solution Category Requirements: Security</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</si>
  <si>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</si>
  <si>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</si>
  <si>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</si>
  <si>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Enter your company UEN</t>
  </si>
  <si>
    <t>UEN of Solution Provider</t>
  </si>
  <si>
    <t>?662204622853743d7ad0d6a7=</t>
  </si>
  <si>
    <t>&amp;6594fc479fd9850012cfd85c=</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</si>
  <si>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UEN”, "Your company name" and "Your proposed solution name".
            b) You should not modify the customer satisfaction survey link.</t>
    </r>
  </si>
  <si>
    <t>Security Robots</t>
  </si>
  <si>
    <t>Security Collaboration Platform</t>
  </si>
  <si>
    <t>Does your solution have the capability to autonomously patrol designated areas and optimize patrol routes to efficiently cover the entire area, while considering factors such as obstacles, restricted zones, and time efficiency?</t>
  </si>
  <si>
    <t>Does your solution provide at least three of the following real-time video analytics functions on the edge? It is mandatory to include the core functions (i) and (ii) indicated below:
i. [CORE] Unattended bags - detect unattended bags or suspicious items.
ii. [CORE] People entering unauthorised zones during restricted hours - detect individuals entering unauthorized zones during restricted hours. 
iii. People found lying or fallen down - Individuals found lying or fallen can be promptly attended to. 
iv. Static People Detection - Detect congregation or loitering at a given area.</t>
  </si>
  <si>
    <t>Does your solution integrate with your video management system (VMS), Security Collaboration Platform (SCP) or building management system (BMS) to enhance operational efficiency and streamline processes ?</t>
  </si>
  <si>
    <t>Does your solution support live streaming features between the visitors and command center?</t>
  </si>
  <si>
    <t>Does the solution integrate seamlessly with the designated robotics middleware framework (Technical Reference TR93), allowing for efficient communication, data exchange, and interoperability with other robotic systems and building infrastructures such as lifts or automatic doors?</t>
  </si>
  <si>
    <t>Does your solution support prevailing IoT standards?</t>
  </si>
  <si>
    <t xml:space="preserve">Does your solution allow ad hoc / scheduled notifications for users to initiate repairs or maintenance? </t>
  </si>
  <si>
    <t>Does your solution provide reporting feature such as automated generation of security incident report, management report in a user-friendly and actionable manner (e.g. key metrics reports/ charts with clear overview metrics related security incident/ parameters)</t>
  </si>
  <si>
    <t>Does your solution include real time monitoring, alert and notification with mitigation/ SOP action that keep users informed during any events, incident, issues, or emergency?</t>
  </si>
  <si>
    <t xml:space="preserve">Does your solution demonstrate the capability to seamlessly interoperate and integrate with existing/new systems, including but not limited to surveillance cameras, IoT devices, and sensors? </t>
  </si>
  <si>
    <t xml:space="preserve">Does your solution allow customers the flexibility to opt-in/opt-out of the integrated security monitoring components? </t>
  </si>
  <si>
    <t xml:space="preserve">Does your solution support 3D building layout map or visualisation? </t>
  </si>
  <si>
    <t>Has your company engaged a qualified 3rd party to conduct a security vulnerability assessment of your solution in the last 12 months? If Yes, please indicate the name of the 3rd party assessor and date of the assessment test in the comment field, and also submit the assessment test report as supporting document. If you are a reseller of the solution, please verify with your product principal that they have conducted a security vulnerability assessment of their solution by a qualified 3rd party in the last 12 months. 
Note: 
[1] Qualified 3rd party include assessors appointed under IMDA GoSecure Programme; Cybersecurity companies accredited under Accreditation@SGD Programme; and CREST-Certified companies or companies with equivalent certifications.</t>
  </si>
  <si>
    <t>Does your solution include safety compliance certificates from manufacturers, such as ensuring that security robots with battery components adhere to safety standards (e.g. UN38.3, IEC 62133, UL 1642, others where applicable)?</t>
  </si>
  <si>
    <t>Does your solution augment the security workforce for physical patrol and incident management, thereby reducing the reliance on security officers?</t>
  </si>
  <si>
    <t>Does your solution organize and automate security workflows from a unified perspective and enable informed decision-making (e.g. Incident Management)?</t>
  </si>
  <si>
    <t>Does your solution allow remote surveillance of multiple sites or a cluster of sites?</t>
  </si>
  <si>
    <r>
      <rPr>
        <b/>
        <sz val="11"/>
        <rFont val="Calibri"/>
        <family val="2"/>
        <scheme val="minor"/>
      </rPr>
      <t xml:space="preserve">Solution Category: </t>
    </r>
    <r>
      <rPr>
        <sz val="11"/>
        <rFont val="Calibri"/>
        <family val="2"/>
        <scheme val="minor"/>
      </rPr>
      <t xml:space="preserve">Security Robots
</t>
    </r>
    <r>
      <rPr>
        <b/>
        <sz val="11"/>
        <rFont val="Calibri"/>
        <family val="2"/>
        <scheme val="minor"/>
      </rPr>
      <t xml:space="preserve">Solution Category Description: </t>
    </r>
    <r>
      <rPr>
        <sz val="11"/>
        <rFont val="Calibri"/>
        <family val="2"/>
        <scheme val="minor"/>
      </rPr>
      <t>Autonomous security robots augment patrol, surveillance duties, respond to incidents, defuse situations, and deter crime.  Covers hazardous situations that are challenging, unsafe or impossible to deploy cameras.</t>
    </r>
  </si>
  <si>
    <t>Does your robot management system allow for cloud-based, mobile-based and/or web-based usage?</t>
  </si>
  <si>
    <t>Does your solution provide APIs for sharing information with external platforms/solutions, and allow users to migrate/archive their data?</t>
  </si>
  <si>
    <r>
      <rPr>
        <u/>
        <sz val="11"/>
        <rFont val="Calibri"/>
        <family val="2"/>
        <scheme val="minor"/>
      </rPr>
      <t xml:space="preserve">For outdoor security robots only </t>
    </r>
    <r>
      <rPr>
        <sz val="11"/>
        <rFont val="Calibri"/>
        <family val="2"/>
        <scheme val="minor"/>
      </rPr>
      <t>- Has the solution undergone Centre of Excellence for Testing and Research of Autonomous Vehicles - NTU (CETRAN) T1 Assessment for AVs on public paths testing?</t>
    </r>
  </si>
  <si>
    <r>
      <rPr>
        <b/>
        <sz val="11"/>
        <rFont val="Calibri"/>
        <family val="2"/>
        <scheme val="minor"/>
      </rPr>
      <t xml:space="preserve">Solution Category: </t>
    </r>
    <r>
      <rPr>
        <sz val="11"/>
        <rFont val="Calibri"/>
        <family val="2"/>
        <scheme val="minor"/>
      </rPr>
      <t xml:space="preserve">Security Collaboration Platform
</t>
    </r>
    <r>
      <rPr>
        <b/>
        <sz val="11"/>
        <rFont val="Calibri"/>
        <family val="2"/>
        <scheme val="minor"/>
      </rPr>
      <t xml:space="preserve">Solution Category Description: </t>
    </r>
    <r>
      <rPr>
        <sz val="11"/>
        <rFont val="Calibri"/>
        <family val="2"/>
        <scheme val="minor"/>
      </rPr>
      <t>Collaborates with visitor, incident management, video management system, and other security systems to enable visualisation, sense-making, intelligent responses, and streamline security operations.</t>
    </r>
  </si>
  <si>
    <t>Does your solution allow for cloud-based, mobile-based and/or web-based usage?</t>
  </si>
  <si>
    <r>
      <t xml:space="preserve">Does your solution collaborate with </t>
    </r>
    <r>
      <rPr>
        <b/>
        <u/>
        <sz val="11"/>
        <rFont val="Calibri"/>
        <family val="2"/>
        <scheme val="minor"/>
      </rPr>
      <t>at least 3</t>
    </r>
    <r>
      <rPr>
        <sz val="11"/>
        <rFont val="Calibri"/>
        <family val="2"/>
        <scheme val="minor"/>
      </rPr>
      <t xml:space="preserve"> of the following components to enable visualization, sense-making, intelligent responses, and streamline security operations:
- Virtual Patrol, such as setting up virtual patrol routes scheduled to run at specified fixed timing, etc.
- Video Analytics, such as Intrusion Detection Module, Camera Tampering Module, Loitering Detection Module, etc.
- Video management system, such as management of camera feeds, recording, playback, display, remote viewing, searching for specific incidents within video archive via parameters (e.g. area of interest, object height, colour, direction of motion), etc.
- Car park management system, such as License Plate Recongnition (LPR), parking sensors and cameras to monitor occupancy, providing real-time data on available parking spaces, etc.
- Visitor Management system, such as capturing detailed visitor information e.g. name, partial identification number, photo and other forms of biometric data and/or issuing of visitor pass for access to the organisation’s premise, etc.
- Access control, such as access cards, mobile applications, biometric, etc.</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</si>
  <si>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</si>
  <si>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</si>
  <si>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</si>
  <si>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</si>
  <si>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</si>
  <si>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</si>
  <si>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</si>
  <si>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</si>
  <si>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</si>
  <si>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</si>
  <si>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</si>
  <si>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</si>
  <si>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"Security"</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</si>
</sst>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4"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sz val="11"/>
      <color rgb="FF00B050"/>
      <name val="Calibri"/>
      <family val="2"/>
      <scheme val="minor"/>
    </font>
    <font>
      <b/>
      <sz val="11"/>
      <name val="Calibri"/>
      <family val="2"/>
      <scheme val="minor"/>
    </font>
    <font>
      <u/>
      <sz val="11"/>
      <name val="Calibri"/>
      <family val="2"/>
      <scheme val="minor"/>
    </font>
    <font>
      <b/>
      <u/>
      <sz val="11"/>
      <name val="Calibri"/>
      <family val="2"/>
      <scheme val="minor"/>
    </font>
    <font>
      <u/>
      <sz val="11"/>
      <color rgb="FF0070C0"/>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9" fontId="8" fillId="0" borderId="0" applyFont="0" applyFill="0" applyBorder="0" applyAlignment="0" applyProtection="0"/>
    <xf numFmtId="0" fontId="12" fillId="0" borderId="0" applyNumberFormat="0" applyFill="0" applyBorder="0" applyAlignment="0" applyProtection="0"/>
    <xf numFmtId="0" fontId="8" fillId="0" borderId="0"/>
  </cellStyleXfs>
  <cellXfs count="100">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wrapText="1"/>
    </xf>
    <xf numFmtId="0" fontId="10" fillId="0" borderId="1" xfId="0" applyFon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0" fontId="0" fillId="3" borderId="1" xfId="0" applyFill="1" applyBorder="1" applyAlignment="1">
      <alignment horizontal="left" vertical="top"/>
    </xf>
    <xf numFmtId="0" fontId="0" fillId="3" borderId="1" xfId="0" applyFill="1" applyBorder="1" applyAlignment="1">
      <alignment horizontal="left" vertical="top" wrapText="1"/>
    </xf>
    <xf numFmtId="1" fontId="0" fillId="3" borderId="1" xfId="0" applyNumberFormat="1" applyFill="1" applyBorder="1" applyAlignment="1">
      <alignment horizontal="left" vertical="top" wrapText="1"/>
    </xf>
    <xf numFmtId="0" fontId="0" fillId="3" borderId="2" xfId="0" applyFill="1" applyBorder="1" applyAlignment="1">
      <alignment horizontal="left" vertical="top" wrapText="1"/>
    </xf>
    <xf numFmtId="0" fontId="0" fillId="0" borderId="4" xfId="0" applyBorder="1" applyAlignment="1">
      <alignment vertical="top" wrapText="1"/>
    </xf>
    <xf numFmtId="0" fontId="0" fillId="0" borderId="3" xfId="0" applyBorder="1" applyAlignment="1">
      <alignment horizontal="left" vertical="top" wrapText="1"/>
    </xf>
    <xf numFmtId="0" fontId="0" fillId="0" borderId="3" xfId="0" applyBorder="1" applyAlignment="1">
      <alignment vertical="top" wrapText="1"/>
    </xf>
    <xf numFmtId="0" fontId="10" fillId="0" borderId="3" xfId="0" applyFont="1" applyBorder="1" applyAlignment="1">
      <alignment horizontal="lef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2" fillId="0" borderId="0" xfId="0" applyFont="1" applyAlignment="1" applyProtection="1">
      <alignment vertical="top"/>
      <protection locked="0"/>
    </xf>
    <xf numFmtId="0" fontId="12" fillId="0" borderId="0" xfId="2"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0" borderId="8" xfId="0" applyBorder="1"/>
    <xf numFmtId="0" fontId="0" fillId="0" borderId="9" xfId="0" applyBorder="1"/>
    <xf numFmtId="0" fontId="14" fillId="4" borderId="10" xfId="0" applyFont="1" applyFill="1" applyBorder="1" applyAlignment="1">
      <alignment horizontal="center" vertical="center"/>
    </xf>
    <xf numFmtId="0" fontId="13" fillId="3" borderId="5" xfId="0" applyFont="1" applyFill="1" applyBorder="1"/>
    <xf numFmtId="0" fontId="12" fillId="0" borderId="10" xfId="2" applyFill="1" applyBorder="1" applyAlignment="1">
      <alignment vertical="top"/>
    </xf>
    <xf numFmtId="0" fontId="2" fillId="3" borderId="5" xfId="0" applyFont="1" applyFill="1" applyBorder="1"/>
    <xf numFmtId="0" fontId="2" fillId="3" borderId="7" xfId="0" applyFont="1" applyFill="1" applyBorder="1"/>
    <xf numFmtId="0" fontId="2" fillId="3" borderId="6"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0" borderId="1" xfId="0" applyBorder="1" applyAlignment="1" applyProtection="1">
      <alignment vertical="top" wrapText="1"/>
      <protection locked="0"/>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12" fillId="0" borderId="0" xfId="2" applyAlignment="1">
      <alignment vertical="top"/>
    </xf>
    <xf numFmtId="0" fontId="0" fillId="5" borderId="1" xfId="0" applyFill="1" applyBorder="1" applyAlignment="1" applyProtection="1">
      <alignment horizontal="left" vertical="top"/>
      <protection locked="0"/>
    </xf>
    <xf numFmtId="0" fontId="0" fillId="6" borderId="1" xfId="0" applyFill="1" applyBorder="1" applyAlignment="1">
      <alignment horizontal="left" vertical="center" wrapText="1"/>
    </xf>
    <xf numFmtId="0" fontId="0" fillId="3" borderId="1" xfId="0" applyFill="1" applyBorder="1" applyAlignment="1" applyProtection="1">
      <alignment horizontal="left" vertical="top" wrapText="1"/>
      <protection locked="0"/>
    </xf>
    <xf numFmtId="0" fontId="0" fillId="5" borderId="4" xfId="0" applyFill="1" applyBorder="1" applyAlignment="1" applyProtection="1">
      <alignment horizontal="left" vertical="top" wrapText="1"/>
      <protection locked="0"/>
    </xf>
    <xf numFmtId="0" fontId="0" fillId="7" borderId="1" xfId="0" applyFill="1" applyBorder="1" applyAlignment="1" applyProtection="1">
      <alignment vertical="top"/>
      <protection locked="0"/>
    </xf>
    <xf numFmtId="2" fontId="0" fillId="0" borderId="1" xfId="0" applyNumberFormat="1" applyBorder="1" applyAlignment="1">
      <alignment horizontal="left" vertical="top" wrapText="1"/>
    </xf>
    <xf numFmtId="2" fontId="19" fillId="0" borderId="1" xfId="0" applyNumberFormat="1" applyFont="1" applyBorder="1" applyAlignment="1">
      <alignment horizontal="left" vertical="top" wrapText="1"/>
    </xf>
    <xf numFmtId="0" fontId="19" fillId="0" borderId="0" xfId="0" applyFont="1" applyAlignment="1">
      <alignment vertical="top"/>
    </xf>
    <xf numFmtId="0" fontId="10" fillId="0" borderId="3" xfId="0" applyFont="1" applyBorder="1" applyAlignment="1">
      <alignment vertical="top" wrapText="1"/>
    </xf>
    <xf numFmtId="0" fontId="10" fillId="3" borderId="1" xfId="0" applyFont="1" applyFill="1" applyBorder="1" applyAlignment="1">
      <alignment horizontal="left" vertical="top" wrapText="1"/>
    </xf>
    <xf numFmtId="0" fontId="10" fillId="0" borderId="1" xfId="0" applyFont="1" applyBorder="1" applyAlignment="1">
      <alignment vertical="top" wrapText="1"/>
    </xf>
    <xf numFmtId="0" fontId="10" fillId="0" borderId="1" xfId="0" applyFont="1" applyBorder="1" applyAlignment="1">
      <alignment vertical="top"/>
    </xf>
    <xf numFmtId="0" fontId="10" fillId="5" borderId="1" xfId="0" applyFont="1" applyFill="1" applyBorder="1" applyAlignment="1" applyProtection="1">
      <alignment horizontal="left" vertical="top" wrapText="1"/>
      <protection locked="0"/>
    </xf>
    <xf numFmtId="0" fontId="23" fillId="0" borderId="0" xfId="2" applyFont="1" applyAlignment="1" applyProtection="1">
      <alignment vertical="top" wrapText="1"/>
      <protection locked="0"/>
    </xf>
    <xf numFmtId="0" fontId="10" fillId="0" borderId="1" xfId="0" applyFont="1" applyBorder="1" applyAlignment="1" applyProtection="1">
      <alignment vertical="top" wrapText="1"/>
      <protection locked="0"/>
    </xf>
    <xf numFmtId="0" fontId="10" fillId="3" borderId="1" xfId="0" applyFont="1" applyFill="1" applyBorder="1" applyAlignment="1" applyProtection="1">
      <alignment horizontal="left" vertical="top" wrapText="1"/>
      <protection locked="0"/>
    </xf>
    <xf numFmtId="0" fontId="12"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2" fillId="0" borderId="1" xfId="0" applyFont="1" applyBorder="1" applyAlignment="1">
      <alignment vertical="top" wrapText="1"/>
    </xf>
    <xf numFmtId="0" fontId="0" fillId="0" borderId="1" xfId="0" applyBorder="1" applyAlignment="1">
      <alignment horizontal="left" vertical="top"/>
    </xf>
    <xf numFmtId="0" fontId="12"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10" fillId="0" borderId="0" xfId="0" applyFont="1" applyAlignment="1">
      <alignment horizontal="left" vertical="top" wrapText="1"/>
    </xf>
    <xf numFmtId="0" fontId="3" fillId="0" borderId="0" xfId="0" applyFont="1" applyAlignment="1">
      <alignment horizontal="right" vertical="top"/>
    </xf>
    <xf numFmtId="164" fontId="3" fillId="0" borderId="0" xfId="0" applyNumberFormat="1" applyFont="1" applyAlignment="1">
      <alignment horizontal="right" vertical="top"/>
    </xf>
  </cellXfs>
  <cellStyles count="4">
    <cellStyle name="Hyperlink" xfId="2" builtinId="8"/>
    <cellStyle name="Normal" xfId="0" builtinId="0"/>
    <cellStyle name="Normal 2" xfId="3" xr:uid="{E6350664-BB20-44C8-BE53-8E06A6978F5F}"/>
    <cellStyle name="Percent" xfId="1" builtinId="5"/>
  </cellStyles>
  <dxfs count="15">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1123950</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2245" y="3536105"/>
          <a:ext cx="693742" cy="821060"/>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5164327</xdr:colOff>
      <xdr:row>11</xdr:row>
      <xdr:rowOff>183091</xdr:rowOff>
    </xdr:from>
    <xdr:to>
      <xdr:col>1</xdr:col>
      <xdr:colOff>5859172</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3598" y="4217209"/>
          <a:ext cx="694845"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4150" y="2164848"/>
            <a:ext cx="441529"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351970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1120140</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6873" y="1633198"/>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3061" y="3879396"/>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3536" y="5980339"/>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82572" y="8100331"/>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4" dataDxfId="13">
  <autoFilter ref="A1:A3" xr:uid="{6CB28B83-0958-4829-B5AC-9043E61AF0FB}"/>
  <tableColumns count="1">
    <tableColumn id="1" xr3:uid="{C4ED7A2D-A909-482F-B633-9A001FF0A9D5}" name="Please select" dataDxfId="1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5546875" style="1" customWidth="1"/>
    <col min="2" max="2" width="146.44140625" style="1" customWidth="1"/>
    <col min="3" max="3" width="21.77734375" style="1" customWidth="1"/>
    <col min="4" max="4" width="2.5546875" style="1" customWidth="1"/>
    <col min="5" max="16384" width="9.21875" style="1" hidden="1"/>
  </cols>
  <sheetData>
    <row r="1" spans="1:4" x14ac:dyDescent="0.3">
      <c r="A1" s="34" t="s">
        <v>0</v>
      </c>
      <c r="C1" s="98" t="s">
        <v>147</v>
      </c>
    </row>
    <row r="2" spans="1:4" x14ac:dyDescent="0.3">
      <c r="C2" s="99">
        <v>45778</v>
      </c>
    </row>
    <row r="3" spans="1:4" ht="32.1" customHeight="1" x14ac:dyDescent="0.3">
      <c r="A3" s="95" t="s">
        <v>100</v>
      </c>
      <c r="B3" s="95"/>
      <c r="C3" s="23"/>
      <c r="D3" s="6"/>
    </row>
    <row r="4" spans="1:4" ht="19.5" customHeight="1" x14ac:dyDescent="0.3"/>
    <row r="5" spans="1:4" ht="28.8" x14ac:dyDescent="0.3">
      <c r="A5" s="3">
        <v>1</v>
      </c>
      <c r="B5" s="65" t="s">
        <v>143</v>
      </c>
      <c r="C5" s="4"/>
    </row>
    <row r="6" spans="1:4" s="36" customFormat="1" ht="22.5" customHeight="1" x14ac:dyDescent="0.3">
      <c r="A6" s="55"/>
      <c r="B6" s="56" t="s">
        <v>1</v>
      </c>
      <c r="C6" s="57"/>
    </row>
    <row r="7" spans="1:4" s="36" customFormat="1" x14ac:dyDescent="0.3">
      <c r="A7" s="55">
        <v>2</v>
      </c>
      <c r="B7" s="58" t="s">
        <v>2</v>
      </c>
      <c r="C7" s="57"/>
    </row>
    <row r="8" spans="1:4" ht="100.8" x14ac:dyDescent="0.3">
      <c r="A8" s="3">
        <v>3</v>
      </c>
      <c r="B8" s="65" t="s">
        <v>145</v>
      </c>
      <c r="C8" s="4"/>
    </row>
    <row r="9" spans="1:4" ht="69.75" customHeight="1" x14ac:dyDescent="0.3">
      <c r="A9" s="3">
        <v>4</v>
      </c>
      <c r="B9" s="4" t="s">
        <v>144</v>
      </c>
      <c r="C9" s="4"/>
    </row>
    <row r="10" spans="1:4" x14ac:dyDescent="0.3">
      <c r="A10" s="3">
        <v>5</v>
      </c>
      <c r="B10" s="4" t="s">
        <v>3</v>
      </c>
      <c r="C10" s="4"/>
    </row>
    <row r="11" spans="1:4" ht="33" customHeight="1" x14ac:dyDescent="0.3">
      <c r="B11" s="54" t="s">
        <v>4</v>
      </c>
    </row>
    <row r="12" spans="1:4" x14ac:dyDescent="0.3"/>
    <row r="13" spans="1:4" s="69" customFormat="1" x14ac:dyDescent="0.3"/>
    <row r="14" spans="1:4" s="69" customFormat="1" x14ac:dyDescent="0.3"/>
    <row r="15" spans="1:4" s="69" customFormat="1" x14ac:dyDescent="0.3"/>
    <row r="16" spans="1:4" s="69" customFormat="1" x14ac:dyDescent="0.3"/>
    <row r="17" s="69" customFormat="1" x14ac:dyDescent="0.3"/>
    <row r="18" s="69" customFormat="1" x14ac:dyDescent="0.3"/>
    <row r="19" s="69" customFormat="1" x14ac:dyDescent="0.3"/>
    <row r="20" s="69" customFormat="1" x14ac:dyDescent="0.3"/>
    <row r="21" s="69" customFormat="1" x14ac:dyDescent="0.3"/>
    <row r="22" s="69" customFormat="1" x14ac:dyDescent="0.3"/>
    <row r="23" s="69" customFormat="1" x14ac:dyDescent="0.3"/>
    <row r="24" s="69" customFormat="1" x14ac:dyDescent="0.3"/>
    <row r="25" s="69" customFormat="1" x14ac:dyDescent="0.3"/>
    <row r="26" s="69" customFormat="1" x14ac:dyDescent="0.3"/>
    <row r="27" s="69" customFormat="1" x14ac:dyDescent="0.3"/>
    <row r="28" s="69" customFormat="1" x14ac:dyDescent="0.3"/>
    <row r="29" s="69" customFormat="1" x14ac:dyDescent="0.3"/>
    <row r="30" s="69" customFormat="1" x14ac:dyDescent="0.3"/>
    <row r="31" s="69" customFormat="1" x14ac:dyDescent="0.3"/>
    <row r="32" s="69" customFormat="1" x14ac:dyDescent="0.3"/>
    <row r="33" s="69" customFormat="1" x14ac:dyDescent="0.3"/>
    <row r="34" s="69" customFormat="1" x14ac:dyDescent="0.3"/>
    <row r="35" s="69" customFormat="1" hidden="1" x14ac:dyDescent="0.3"/>
    <row r="36" s="69" customFormat="1" hidden="1" x14ac:dyDescent="0.3"/>
    <row r="37" s="69" customFormat="1" hidden="1" x14ac:dyDescent="0.3"/>
    <row r="38" s="69" customFormat="1" hidden="1" x14ac:dyDescent="0.3"/>
    <row r="39" s="69" customFormat="1" hidden="1" x14ac:dyDescent="0.3"/>
    <row r="40" s="69" customFormat="1" hidden="1" x14ac:dyDescent="0.3"/>
    <row r="41" s="69" customFormat="1" hidden="1" x14ac:dyDescent="0.3"/>
    <row r="42" s="69" customFormat="1" hidden="1" x14ac:dyDescent="0.3"/>
    <row r="43" s="69" customFormat="1" hidden="1" x14ac:dyDescent="0.3"/>
    <row r="44" s="69" customFormat="1" hidden="1" x14ac:dyDescent="0.3"/>
    <row r="45" s="69" customFormat="1" hidden="1" x14ac:dyDescent="0.3"/>
    <row r="46" s="69" customFormat="1" hidden="1" x14ac:dyDescent="0.3"/>
    <row r="47" s="69" customFormat="1" hidden="1" x14ac:dyDescent="0.3"/>
    <row r="48" s="69" customFormat="1" hidden="1" x14ac:dyDescent="0.3"/>
  </sheetData>
  <sheetProtection formatRows="0" insertColumns="0"/>
  <mergeCells count="1">
    <mergeCell ref="A3:B3"/>
  </mergeCells>
  <hyperlinks>
    <hyperlink ref="A1" r:id="rId1" xr:uid="{31F41907-8E88-4A78-9CFC-B635B6FCC34D}"/>
    <hyperlink ref="B7" r:id="rId2" xr:uid="{5912DE0A-CE2A-40E5-AD51-17C20FC78C86}"/>
    <hyperlink ref="B6" r:id="rId3" display="If you have not performed a vendor onboarding eligibility assessment, please visit https://go.gov.sg/vsa and ensure that you have passed all criteria." xr:uid="{90DFE12B-A850-4879-89FC-2DB0C72BC4F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85" zoomScaleNormal="85" workbookViewId="0">
      <selection activeCell="A3" sqref="A3:F3"/>
    </sheetView>
  </sheetViews>
  <sheetFormatPr defaultColWidth="0" defaultRowHeight="14.4" zeroHeight="1" x14ac:dyDescent="0.3"/>
  <cols>
    <col min="1" max="1" width="6.5546875" style="3"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88" t="s">
        <v>0</v>
      </c>
      <c r="E1" s="10" t="str">
        <f>Instructions!$C$1</f>
        <v>Version: 25-2.0</v>
      </c>
      <c r="F1" s="5"/>
    </row>
    <row r="2" spans="1:6" x14ac:dyDescent="0.3">
      <c r="E2" s="32">
        <f>Instructions!C2</f>
        <v>45778</v>
      </c>
      <c r="F2" s="5"/>
    </row>
    <row r="3" spans="1:6" s="7" customFormat="1" ht="32.1" customHeight="1" x14ac:dyDescent="0.3">
      <c r="A3" s="95" t="s">
        <v>5</v>
      </c>
      <c r="B3" s="95"/>
      <c r="C3" s="95"/>
      <c r="D3" s="95"/>
      <c r="E3" s="95"/>
      <c r="F3" s="95"/>
    </row>
    <row r="4" spans="1:6" x14ac:dyDescent="0.3"/>
    <row r="5" spans="1:6" ht="139.5" customHeight="1" x14ac:dyDescent="0.3">
      <c r="A5" s="96" t="s">
        <v>146</v>
      </c>
      <c r="B5" s="96"/>
      <c r="C5" s="96"/>
      <c r="D5" s="96"/>
      <c r="E5" s="96"/>
    </row>
    <row r="6" spans="1:6" x14ac:dyDescent="0.3">
      <c r="A6" s="9" t="s">
        <v>6</v>
      </c>
      <c r="B6" s="8"/>
      <c r="C6" s="8"/>
      <c r="D6" s="8"/>
      <c r="E6" s="8"/>
    </row>
    <row r="7" spans="1:6" ht="24" customHeight="1" x14ac:dyDescent="0.3">
      <c r="A7" s="89"/>
      <c r="B7" s="8" t="s">
        <v>7</v>
      </c>
      <c r="C7" s="20"/>
      <c r="D7" s="8"/>
      <c r="E7" s="8"/>
    </row>
    <row r="8" spans="1:6" ht="47.25" customHeight="1" x14ac:dyDescent="0.3">
      <c r="A8" s="90">
        <f>COUNTIFS(C12:C21, "Mandatory", D12:D21, "No")</f>
        <v>0</v>
      </c>
      <c r="B8" s="20" t="str">
        <f>IF(A8&gt;0,"Error! You have indicated [No] for at least 1 of the Mandatory requirements. All Mandatory requirements must be met. Please do not proceed until all requirements can be met.","")</f>
        <v/>
      </c>
      <c r="C8" s="20"/>
      <c r="D8" s="8"/>
      <c r="E8" s="8"/>
    </row>
    <row r="9" spans="1:6" ht="112.5" customHeight="1" x14ac:dyDescent="0.3">
      <c r="D9" s="8"/>
      <c r="E9" s="8"/>
    </row>
    <row r="10" spans="1:6" x14ac:dyDescent="0.3">
      <c r="D10" s="8"/>
      <c r="E10" s="8"/>
    </row>
    <row r="11" spans="1:6" s="2" customFormat="1" x14ac:dyDescent="0.3">
      <c r="A11" s="15" t="s">
        <v>8</v>
      </c>
      <c r="B11" s="16" t="s">
        <v>9</v>
      </c>
      <c r="C11" s="16" t="s">
        <v>10</v>
      </c>
      <c r="D11" s="16" t="s">
        <v>11</v>
      </c>
      <c r="E11" s="16" t="s">
        <v>12</v>
      </c>
    </row>
    <row r="12" spans="1:6" s="2" customFormat="1" ht="28.8" x14ac:dyDescent="0.3">
      <c r="A12" s="91">
        <v>1</v>
      </c>
      <c r="B12" s="52" t="s">
        <v>13</v>
      </c>
      <c r="C12" s="12" t="s">
        <v>14</v>
      </c>
      <c r="D12" s="66"/>
      <c r="E12" s="76" t="s">
        <v>15</v>
      </c>
    </row>
    <row r="13" spans="1:6" s="2" customFormat="1" ht="28.8" x14ac:dyDescent="0.3">
      <c r="A13" s="91">
        <v>2</v>
      </c>
      <c r="B13" s="92" t="s">
        <v>16</v>
      </c>
      <c r="C13" s="12" t="s">
        <v>14</v>
      </c>
      <c r="D13" s="66"/>
      <c r="E13" s="76" t="s">
        <v>17</v>
      </c>
    </row>
    <row r="14" spans="1:6" s="2" customFormat="1" ht="28.8" x14ac:dyDescent="0.3">
      <c r="A14" s="91">
        <v>3</v>
      </c>
      <c r="B14" s="52" t="s">
        <v>18</v>
      </c>
      <c r="C14" s="12" t="s">
        <v>14</v>
      </c>
      <c r="D14" s="66"/>
      <c r="E14" s="76" t="s">
        <v>19</v>
      </c>
    </row>
    <row r="15" spans="1:6" ht="43.2" x14ac:dyDescent="0.3">
      <c r="A15" s="93">
        <v>4</v>
      </c>
      <c r="B15" s="12" t="s">
        <v>20</v>
      </c>
      <c r="C15" s="12" t="s">
        <v>21</v>
      </c>
      <c r="D15" s="66"/>
      <c r="E15" s="40" t="s">
        <v>22</v>
      </c>
    </row>
    <row r="16" spans="1:6" ht="28.8" x14ac:dyDescent="0.3">
      <c r="A16" s="93">
        <v>5</v>
      </c>
      <c r="B16" s="12" t="s">
        <v>136</v>
      </c>
      <c r="C16" s="12" t="s">
        <v>14</v>
      </c>
      <c r="D16" s="66"/>
      <c r="E16" s="40" t="s">
        <v>137</v>
      </c>
    </row>
    <row r="17" spans="1:5" ht="57.6" x14ac:dyDescent="0.3">
      <c r="A17" s="93">
        <v>6</v>
      </c>
      <c r="B17" s="12" t="s">
        <v>23</v>
      </c>
      <c r="C17" s="12" t="s">
        <v>21</v>
      </c>
      <c r="D17" s="66"/>
      <c r="E17" s="40" t="s">
        <v>22</v>
      </c>
    </row>
    <row r="18" spans="1:5" ht="115.2" x14ac:dyDescent="0.3">
      <c r="A18" s="93">
        <v>7</v>
      </c>
      <c r="B18" s="12" t="s">
        <v>141</v>
      </c>
      <c r="C18" s="12" t="s">
        <v>21</v>
      </c>
      <c r="D18" s="66"/>
      <c r="E18" s="94" t="s">
        <v>142</v>
      </c>
    </row>
    <row r="19" spans="1:5" ht="28.8" x14ac:dyDescent="0.3">
      <c r="A19" s="93">
        <v>8</v>
      </c>
      <c r="B19" s="12" t="s">
        <v>138</v>
      </c>
      <c r="C19" s="12" t="s">
        <v>21</v>
      </c>
      <c r="D19" s="66"/>
      <c r="E19" s="40" t="s">
        <v>139</v>
      </c>
    </row>
    <row r="20" spans="1:5" ht="57.6" x14ac:dyDescent="0.3">
      <c r="A20" s="93">
        <v>9</v>
      </c>
      <c r="B20" s="12" t="s">
        <v>102</v>
      </c>
      <c r="C20" s="12" t="s">
        <v>14</v>
      </c>
      <c r="D20" s="66"/>
      <c r="E20" s="40" t="s">
        <v>22</v>
      </c>
    </row>
    <row r="21" spans="1:5" ht="86.4" x14ac:dyDescent="0.3">
      <c r="A21" s="93">
        <v>10</v>
      </c>
      <c r="B21" s="12" t="s">
        <v>103</v>
      </c>
      <c r="C21" s="12" t="s">
        <v>14</v>
      </c>
      <c r="D21" s="66"/>
      <c r="E21" s="40" t="s">
        <v>104</v>
      </c>
    </row>
    <row r="22" spans="1:5" x14ac:dyDescent="0.3"/>
    <row r="23" spans="1:5" x14ac:dyDescent="0.3"/>
    <row r="24" spans="1:5" x14ac:dyDescent="0.3"/>
    <row r="25" spans="1:5" x14ac:dyDescent="0.3"/>
    <row r="26" spans="1:5" x14ac:dyDescent="0.3"/>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sheetData>
  <sheetProtection algorithmName="SHA-512" hashValue="sCLKuh7tPYI7ILXUtp/7/wyiHlPxCnA82iX8s9/Arn7YZ4c0DsOF+LpuPfpJ2iFXDYmhsI8Joa6dzaJURxSl5A==" saltValue="8hhsTAyfV57bzNCLUO5F1Q=="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11" priority="1">
      <formula>AND($C12="Mandatory", $D12="No")</formula>
    </cfRule>
    <cfRule type="containsBlanks" dxfId="10"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A15767E1-C496-4431-BB66-FD38134F77D1}"/>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210"/>
  <sheetViews>
    <sheetView showGridLines="0" zoomScale="85" zoomScaleNormal="85" workbookViewId="0">
      <selection activeCell="B59" sqref="B59"/>
    </sheetView>
  </sheetViews>
  <sheetFormatPr defaultColWidth="9.21875" defaultRowHeight="14.4" zeroHeight="1" x14ac:dyDescent="0.3"/>
  <cols>
    <col min="1" max="1" width="6.44140625" style="3" customWidth="1"/>
    <col min="2" max="2" width="102.5546875" style="1" customWidth="1"/>
    <col min="3" max="4" width="12.5546875" style="1" customWidth="1"/>
    <col min="5" max="5" width="72.5546875" style="1" customWidth="1"/>
    <col min="6" max="6" width="2.5546875" style="1" customWidth="1"/>
    <col min="7" max="7" width="19.5546875" style="36" customWidth="1"/>
    <col min="8" max="16384" width="9.21875" style="1"/>
  </cols>
  <sheetData>
    <row r="1" spans="1:7" x14ac:dyDescent="0.3">
      <c r="A1" s="34" t="s">
        <v>0</v>
      </c>
      <c r="D1" s="10"/>
      <c r="E1" s="10" t="str">
        <f>Instructions!$C$1</f>
        <v>Version: 25-2.0</v>
      </c>
      <c r="F1" s="5"/>
    </row>
    <row r="2" spans="1:7" x14ac:dyDescent="0.3">
      <c r="D2" s="10"/>
      <c r="E2" s="32">
        <f>Instructions!C2</f>
        <v>45778</v>
      </c>
      <c r="F2" s="5"/>
    </row>
    <row r="3" spans="1:7" s="7" customFormat="1" ht="32.1" customHeight="1" x14ac:dyDescent="0.3">
      <c r="A3" s="19" t="s">
        <v>101</v>
      </c>
      <c r="B3" s="19"/>
      <c r="C3" s="19"/>
      <c r="D3" s="19"/>
      <c r="E3" s="19"/>
      <c r="F3" s="19"/>
      <c r="G3" s="37"/>
    </row>
    <row r="4" spans="1:7" x14ac:dyDescent="0.3"/>
    <row r="5" spans="1:7" x14ac:dyDescent="0.3">
      <c r="A5" s="96" t="s">
        <v>24</v>
      </c>
      <c r="B5" s="96"/>
      <c r="C5" s="96"/>
      <c r="D5" s="96"/>
      <c r="E5" s="96"/>
    </row>
    <row r="6" spans="1:7" ht="108" customHeight="1" x14ac:dyDescent="0.3">
      <c r="A6" s="96" t="s">
        <v>25</v>
      </c>
      <c r="B6" s="96"/>
      <c r="C6" s="96"/>
      <c r="D6" s="96"/>
      <c r="E6" s="96"/>
    </row>
    <row r="7" spans="1:7" x14ac:dyDescent="0.3">
      <c r="A7" s="8"/>
      <c r="B7" s="8"/>
      <c r="C7" s="8"/>
      <c r="D7" s="8"/>
      <c r="E7" s="8"/>
    </row>
    <row r="8" spans="1:7" x14ac:dyDescent="0.3">
      <c r="A8" s="9" t="s">
        <v>6</v>
      </c>
      <c r="B8" s="8"/>
      <c r="C8" s="11"/>
      <c r="D8" s="8"/>
      <c r="E8" s="11"/>
    </row>
    <row r="9" spans="1:7" x14ac:dyDescent="0.3">
      <c r="A9" s="9"/>
      <c r="B9" s="8" t="s">
        <v>7</v>
      </c>
      <c r="C9" s="11"/>
      <c r="D9" s="8"/>
      <c r="E9" s="11"/>
    </row>
    <row r="10" spans="1:7" ht="39.6" customHeight="1" x14ac:dyDescent="0.3">
      <c r="A10" s="64">
        <f>IF(COUNTIF('Data for graphs'!C13:R13,"&gt;0")&lt;=1, 0, COUNTIF('Data for graphs'!C13:R13,"&gt;0"))</f>
        <v>0</v>
      </c>
      <c r="B10" s="20" t="str">
        <f>IF(A10&gt;0,"Error! You have responded in multiple solution categories. Please ONLY provide responses for the selected solution category.","")</f>
        <v/>
      </c>
      <c r="C10" s="9"/>
      <c r="D10" s="8"/>
      <c r="E10" s="11"/>
    </row>
    <row r="11" spans="1:7" ht="39.6" customHeight="1" x14ac:dyDescent="0.3">
      <c r="A11" s="64" cm="1">
        <f t="array" ref="A11">SUMPRODUCT((C22:C76="Mandatory")*(D22:D76="No"))</f>
        <v>0</v>
      </c>
      <c r="B11" s="20" t="str">
        <f>IF(A10&gt;0,"Error! You have indicated [NO] for at least 1 of the Mandatory requirements. Please do not proceed until all requirements can be met.","")</f>
        <v/>
      </c>
      <c r="C11" s="9"/>
      <c r="D11" s="8"/>
      <c r="E11" s="11"/>
    </row>
    <row r="12" spans="1:7" ht="133.5" customHeight="1" x14ac:dyDescent="0.3">
      <c r="B12" s="8"/>
      <c r="D12" s="8"/>
    </row>
    <row r="13" spans="1:7" x14ac:dyDescent="0.3">
      <c r="A13" s="2" t="s">
        <v>26</v>
      </c>
      <c r="B13" s="2"/>
      <c r="C13" s="2"/>
      <c r="D13" s="2"/>
      <c r="E13" s="2"/>
    </row>
    <row r="14" spans="1:7" x14ac:dyDescent="0.3">
      <c r="A14" s="3">
        <v>1</v>
      </c>
      <c r="B14" s="71" t="s">
        <v>73</v>
      </c>
      <c r="C14" s="2"/>
      <c r="D14" s="2"/>
      <c r="E14" s="2"/>
    </row>
    <row r="15" spans="1:7" x14ac:dyDescent="0.3">
      <c r="A15" s="3">
        <v>2</v>
      </c>
      <c r="B15" s="71" t="s">
        <v>74</v>
      </c>
      <c r="C15" s="2"/>
      <c r="D15" s="2"/>
      <c r="E15" s="2"/>
    </row>
    <row r="16" spans="1:7" x14ac:dyDescent="0.3">
      <c r="A16" s="3">
        <v>3</v>
      </c>
      <c r="B16" s="71" t="s">
        <v>75</v>
      </c>
      <c r="C16" s="2"/>
      <c r="D16" s="2"/>
      <c r="E16" s="2"/>
    </row>
    <row r="17" spans="1:7" x14ac:dyDescent="0.3">
      <c r="A17" s="3">
        <v>4</v>
      </c>
      <c r="B17" s="71" t="s">
        <v>110</v>
      </c>
      <c r="C17" s="2"/>
      <c r="D17" s="2"/>
      <c r="E17" s="2"/>
    </row>
    <row r="18" spans="1:7" x14ac:dyDescent="0.3">
      <c r="A18" s="3">
        <v>5</v>
      </c>
      <c r="B18" s="71" t="s">
        <v>111</v>
      </c>
      <c r="C18" s="2"/>
      <c r="D18" s="2"/>
      <c r="E18" s="2"/>
    </row>
    <row r="19" spans="1:7" x14ac:dyDescent="0.3">
      <c r="B19" s="8"/>
      <c r="D19" s="8"/>
    </row>
    <row r="20" spans="1:7" s="2" customFormat="1" x14ac:dyDescent="0.3">
      <c r="A20" s="15" t="s">
        <v>8</v>
      </c>
      <c r="B20" s="16" t="s">
        <v>9</v>
      </c>
      <c r="C20" s="16" t="s">
        <v>10</v>
      </c>
      <c r="D20" s="16" t="s">
        <v>11</v>
      </c>
      <c r="E20" s="16" t="s">
        <v>12</v>
      </c>
      <c r="G20" s="38"/>
    </row>
    <row r="21" spans="1:7" ht="43.2" x14ac:dyDescent="0.3">
      <c r="A21" s="24">
        <v>1</v>
      </c>
      <c r="B21" s="25" t="s">
        <v>76</v>
      </c>
      <c r="C21" s="25"/>
      <c r="D21" s="25"/>
      <c r="E21" s="25"/>
      <c r="G21" s="39" t="s">
        <v>27</v>
      </c>
    </row>
    <row r="22" spans="1:7" s="4" customFormat="1" x14ac:dyDescent="0.3">
      <c r="A22" s="77">
        <f t="shared" ref="A22:A30" si="0">A21+0.01</f>
        <v>1.01</v>
      </c>
      <c r="B22" s="29" t="s">
        <v>77</v>
      </c>
      <c r="C22" s="17" t="s">
        <v>21</v>
      </c>
      <c r="D22" s="59"/>
      <c r="E22" s="40" t="s">
        <v>29</v>
      </c>
      <c r="G22" s="39" t="s">
        <v>27</v>
      </c>
    </row>
    <row r="23" spans="1:7" s="4" customFormat="1" ht="28.8" x14ac:dyDescent="0.3">
      <c r="A23" s="77">
        <f t="shared" si="0"/>
        <v>1.02</v>
      </c>
      <c r="B23" s="29" t="s">
        <v>78</v>
      </c>
      <c r="C23" s="17" t="s">
        <v>21</v>
      </c>
      <c r="D23" s="59"/>
      <c r="E23" s="40" t="s">
        <v>29</v>
      </c>
      <c r="G23" s="39" t="s">
        <v>27</v>
      </c>
    </row>
    <row r="24" spans="1:7" s="4" customFormat="1" ht="43.2" x14ac:dyDescent="0.3">
      <c r="A24" s="77">
        <f t="shared" si="0"/>
        <v>1.03</v>
      </c>
      <c r="B24" s="29" t="s">
        <v>79</v>
      </c>
      <c r="C24" s="17" t="s">
        <v>21</v>
      </c>
      <c r="D24" s="59"/>
      <c r="E24" s="40" t="s">
        <v>29</v>
      </c>
      <c r="G24" s="39" t="s">
        <v>27</v>
      </c>
    </row>
    <row r="25" spans="1:7" s="4" customFormat="1" ht="28.8" x14ac:dyDescent="0.3">
      <c r="A25" s="77">
        <f t="shared" si="0"/>
        <v>1.04</v>
      </c>
      <c r="B25" s="29" t="s">
        <v>80</v>
      </c>
      <c r="C25" s="17" t="s">
        <v>21</v>
      </c>
      <c r="D25" s="59"/>
      <c r="E25" s="40" t="s">
        <v>29</v>
      </c>
      <c r="G25" s="39" t="s">
        <v>27</v>
      </c>
    </row>
    <row r="26" spans="1:7" s="4" customFormat="1" x14ac:dyDescent="0.3">
      <c r="A26" s="77">
        <f t="shared" si="0"/>
        <v>1.05</v>
      </c>
      <c r="B26" s="29" t="s">
        <v>81</v>
      </c>
      <c r="C26" s="17" t="s">
        <v>21</v>
      </c>
      <c r="D26" s="59"/>
      <c r="E26" s="40" t="s">
        <v>29</v>
      </c>
      <c r="G26" s="39" t="s">
        <v>27</v>
      </c>
    </row>
    <row r="27" spans="1:7" s="4" customFormat="1" ht="144" x14ac:dyDescent="0.3">
      <c r="A27" s="77">
        <f t="shared" si="0"/>
        <v>1.06</v>
      </c>
      <c r="B27" s="31" t="s">
        <v>124</v>
      </c>
      <c r="C27" s="17" t="s">
        <v>21</v>
      </c>
      <c r="D27" s="59"/>
      <c r="E27" s="40" t="s">
        <v>29</v>
      </c>
      <c r="G27" s="39" t="s">
        <v>27</v>
      </c>
    </row>
    <row r="28" spans="1:7" s="4" customFormat="1" ht="28.8" x14ac:dyDescent="0.3">
      <c r="A28" s="77">
        <f t="shared" si="0"/>
        <v>1.07</v>
      </c>
      <c r="B28" s="29" t="s">
        <v>82</v>
      </c>
      <c r="C28" s="17" t="s">
        <v>28</v>
      </c>
      <c r="D28" s="59"/>
      <c r="E28" s="40" t="s">
        <v>29</v>
      </c>
      <c r="G28" s="39" t="s">
        <v>27</v>
      </c>
    </row>
    <row r="29" spans="1:7" s="4" customFormat="1" ht="28.8" x14ac:dyDescent="0.3">
      <c r="A29" s="77">
        <f t="shared" si="0"/>
        <v>1.08</v>
      </c>
      <c r="B29" s="30" t="s">
        <v>83</v>
      </c>
      <c r="C29" s="17" t="s">
        <v>28</v>
      </c>
      <c r="D29" s="59"/>
      <c r="E29" s="40" t="s">
        <v>29</v>
      </c>
      <c r="G29" s="39" t="s">
        <v>27</v>
      </c>
    </row>
    <row r="30" spans="1:7" s="4" customFormat="1" x14ac:dyDescent="0.3">
      <c r="A30" s="77">
        <f t="shared" si="0"/>
        <v>1.0900000000000001</v>
      </c>
      <c r="B30" s="29" t="s">
        <v>84</v>
      </c>
      <c r="C30" s="17" t="s">
        <v>28</v>
      </c>
      <c r="D30" s="59"/>
      <c r="E30" s="40" t="s">
        <v>29</v>
      </c>
      <c r="G30" s="39" t="s">
        <v>27</v>
      </c>
    </row>
    <row r="31" spans="1:7" s="4" customFormat="1" ht="43.2" x14ac:dyDescent="0.3">
      <c r="A31" s="26">
        <v>2</v>
      </c>
      <c r="B31" s="27" t="s">
        <v>85</v>
      </c>
      <c r="C31" s="25"/>
      <c r="D31" s="74"/>
      <c r="E31" s="74"/>
      <c r="G31" s="39" t="s">
        <v>27</v>
      </c>
    </row>
    <row r="32" spans="1:7" s="4" customFormat="1" ht="45" customHeight="1" x14ac:dyDescent="0.3">
      <c r="A32" s="77">
        <f t="shared" ref="A32:A38" si="1">A31+0.01</f>
        <v>2.0099999999999998</v>
      </c>
      <c r="B32" s="30" t="s">
        <v>86</v>
      </c>
      <c r="C32" s="28" t="s">
        <v>21</v>
      </c>
      <c r="D32" s="59"/>
      <c r="E32" s="75" t="s">
        <v>29</v>
      </c>
      <c r="G32" s="39" t="s">
        <v>27</v>
      </c>
    </row>
    <row r="33" spans="1:7" s="4" customFormat="1" x14ac:dyDescent="0.3">
      <c r="A33" s="77">
        <f t="shared" si="1"/>
        <v>2.0199999999999996</v>
      </c>
      <c r="B33" s="30" t="s">
        <v>87</v>
      </c>
      <c r="C33" s="12" t="s">
        <v>21</v>
      </c>
      <c r="D33" s="59"/>
      <c r="E33" s="75" t="s">
        <v>29</v>
      </c>
      <c r="G33" s="39" t="s">
        <v>27</v>
      </c>
    </row>
    <row r="34" spans="1:7" s="4" customFormat="1" ht="28.8" x14ac:dyDescent="0.3">
      <c r="A34" s="77">
        <f t="shared" si="1"/>
        <v>2.0299999999999994</v>
      </c>
      <c r="B34" s="30" t="s">
        <v>88</v>
      </c>
      <c r="C34" s="12" t="s">
        <v>21</v>
      </c>
      <c r="D34" s="59"/>
      <c r="E34" s="75" t="s">
        <v>29</v>
      </c>
      <c r="G34" s="39" t="s">
        <v>27</v>
      </c>
    </row>
    <row r="35" spans="1:7" s="4" customFormat="1" x14ac:dyDescent="0.3">
      <c r="A35" s="77">
        <f t="shared" si="1"/>
        <v>2.0399999999999991</v>
      </c>
      <c r="B35" s="30" t="s">
        <v>81</v>
      </c>
      <c r="C35" s="17" t="s">
        <v>21</v>
      </c>
      <c r="D35" s="59"/>
      <c r="E35" s="75" t="s">
        <v>29</v>
      </c>
      <c r="G35" s="39" t="s">
        <v>27</v>
      </c>
    </row>
    <row r="36" spans="1:7" s="4" customFormat="1" ht="144" x14ac:dyDescent="0.3">
      <c r="A36" s="77">
        <f t="shared" si="1"/>
        <v>2.0499999999999989</v>
      </c>
      <c r="B36" s="80" t="s">
        <v>124</v>
      </c>
      <c r="C36" s="17" t="s">
        <v>21</v>
      </c>
      <c r="D36" s="59"/>
      <c r="E36" s="75" t="s">
        <v>29</v>
      </c>
      <c r="G36" s="39" t="s">
        <v>27</v>
      </c>
    </row>
    <row r="37" spans="1:7" s="4" customFormat="1" x14ac:dyDescent="0.3">
      <c r="A37" s="77">
        <f t="shared" si="1"/>
        <v>2.0599999999999987</v>
      </c>
      <c r="B37" s="29" t="s">
        <v>89</v>
      </c>
      <c r="C37" s="17" t="s">
        <v>28</v>
      </c>
      <c r="D37" s="59"/>
      <c r="E37" s="75" t="s">
        <v>29</v>
      </c>
      <c r="G37" s="39" t="s">
        <v>27</v>
      </c>
    </row>
    <row r="38" spans="1:7" s="4" customFormat="1" ht="43.2" x14ac:dyDescent="0.3">
      <c r="A38" s="77">
        <f t="shared" si="1"/>
        <v>2.0699999999999985</v>
      </c>
      <c r="B38" s="29" t="s">
        <v>90</v>
      </c>
      <c r="C38" s="18" t="s">
        <v>28</v>
      </c>
      <c r="D38" s="59"/>
      <c r="E38" s="75" t="s">
        <v>29</v>
      </c>
      <c r="G38" s="39" t="s">
        <v>27</v>
      </c>
    </row>
    <row r="39" spans="1:7" s="4" customFormat="1" ht="43.2" x14ac:dyDescent="0.3">
      <c r="A39" s="27">
        <v>3</v>
      </c>
      <c r="B39" s="25" t="s">
        <v>91</v>
      </c>
      <c r="C39" s="25"/>
      <c r="D39" s="74"/>
      <c r="E39" s="74"/>
      <c r="G39" s="39" t="s">
        <v>27</v>
      </c>
    </row>
    <row r="40" spans="1:7" s="4" customFormat="1" x14ac:dyDescent="0.3">
      <c r="A40" s="77">
        <f t="shared" ref="A40:A76" si="2">A39+0.01</f>
        <v>3.01</v>
      </c>
      <c r="B40" s="29" t="s">
        <v>92</v>
      </c>
      <c r="C40" s="17" t="s">
        <v>21</v>
      </c>
      <c r="D40" s="59"/>
      <c r="E40" s="40" t="s">
        <v>29</v>
      </c>
      <c r="G40" s="39" t="s">
        <v>27</v>
      </c>
    </row>
    <row r="41" spans="1:7" s="4" customFormat="1" x14ac:dyDescent="0.3">
      <c r="A41" s="77">
        <f t="shared" si="2"/>
        <v>3.0199999999999996</v>
      </c>
      <c r="B41" s="29" t="s">
        <v>93</v>
      </c>
      <c r="C41" s="17" t="s">
        <v>21</v>
      </c>
      <c r="D41" s="59"/>
      <c r="E41" s="40" t="s">
        <v>29</v>
      </c>
      <c r="G41" s="39" t="s">
        <v>27</v>
      </c>
    </row>
    <row r="42" spans="1:7" s="4" customFormat="1" ht="409.05" customHeight="1" x14ac:dyDescent="0.3">
      <c r="A42" s="77">
        <f t="shared" si="2"/>
        <v>3.0299999999999994</v>
      </c>
      <c r="B42" s="29" t="s">
        <v>94</v>
      </c>
      <c r="C42" s="29" t="s">
        <v>21</v>
      </c>
      <c r="D42" s="59"/>
      <c r="E42" s="40" t="s">
        <v>29</v>
      </c>
      <c r="G42" s="39" t="s">
        <v>27</v>
      </c>
    </row>
    <row r="43" spans="1:7" s="4" customFormat="1" x14ac:dyDescent="0.3">
      <c r="A43" s="77">
        <f t="shared" si="2"/>
        <v>3.0399999999999991</v>
      </c>
      <c r="B43" s="29" t="s">
        <v>95</v>
      </c>
      <c r="C43" s="29" t="s">
        <v>21</v>
      </c>
      <c r="D43" s="59"/>
      <c r="E43" s="40" t="s">
        <v>29</v>
      </c>
      <c r="G43" s="39" t="s">
        <v>27</v>
      </c>
    </row>
    <row r="44" spans="1:7" s="4" customFormat="1" ht="28.8" x14ac:dyDescent="0.3">
      <c r="A44" s="77">
        <f t="shared" si="2"/>
        <v>3.0499999999999989</v>
      </c>
      <c r="B44" s="31" t="s">
        <v>96</v>
      </c>
      <c r="C44" s="18" t="s">
        <v>21</v>
      </c>
      <c r="D44" s="59"/>
      <c r="E44" s="40" t="s">
        <v>29</v>
      </c>
      <c r="G44" s="39" t="s">
        <v>27</v>
      </c>
    </row>
    <row r="45" spans="1:7" s="4" customFormat="1" x14ac:dyDescent="0.3">
      <c r="A45" s="77">
        <f t="shared" si="2"/>
        <v>3.0599999999999987</v>
      </c>
      <c r="B45" s="31" t="s">
        <v>81</v>
      </c>
      <c r="C45" s="18" t="s">
        <v>21</v>
      </c>
      <c r="D45" s="59"/>
      <c r="E45" s="40" t="s">
        <v>29</v>
      </c>
      <c r="G45" s="39" t="s">
        <v>27</v>
      </c>
    </row>
    <row r="46" spans="1:7" s="4" customFormat="1" ht="28.8" x14ac:dyDescent="0.3">
      <c r="A46" s="77">
        <f t="shared" si="2"/>
        <v>3.0699999999999985</v>
      </c>
      <c r="B46" s="29" t="s">
        <v>97</v>
      </c>
      <c r="C46" s="18" t="s">
        <v>28</v>
      </c>
      <c r="D46" s="59"/>
      <c r="E46" s="40" t="s">
        <v>29</v>
      </c>
      <c r="G46" s="39" t="s">
        <v>27</v>
      </c>
    </row>
    <row r="47" spans="1:7" s="4" customFormat="1" ht="43.2" x14ac:dyDescent="0.3">
      <c r="A47" s="77">
        <f t="shared" si="2"/>
        <v>3.0799999999999983</v>
      </c>
      <c r="B47" s="31" t="s">
        <v>98</v>
      </c>
      <c r="C47" s="18" t="s">
        <v>28</v>
      </c>
      <c r="D47" s="59"/>
      <c r="E47" s="40" t="s">
        <v>29</v>
      </c>
      <c r="G47" s="39" t="s">
        <v>27</v>
      </c>
    </row>
    <row r="48" spans="1:7" s="4" customFormat="1" ht="28.8" x14ac:dyDescent="0.3">
      <c r="A48" s="77">
        <f t="shared" si="2"/>
        <v>3.0899999999999981</v>
      </c>
      <c r="B48" s="31" t="s">
        <v>99</v>
      </c>
      <c r="C48" s="18" t="s">
        <v>28</v>
      </c>
      <c r="D48" s="59"/>
      <c r="E48" s="40" t="s">
        <v>29</v>
      </c>
      <c r="G48" s="39" t="s">
        <v>27</v>
      </c>
    </row>
    <row r="49" spans="1:7" ht="144" x14ac:dyDescent="0.3">
      <c r="A49" s="77">
        <f t="shared" si="2"/>
        <v>3.0999999999999979</v>
      </c>
      <c r="B49" s="80" t="s">
        <v>124</v>
      </c>
      <c r="C49" s="18" t="s">
        <v>21</v>
      </c>
      <c r="D49" s="59"/>
      <c r="E49" s="75" t="s">
        <v>29</v>
      </c>
      <c r="F49" s="4"/>
      <c r="G49" s="39" t="s">
        <v>27</v>
      </c>
    </row>
    <row r="50" spans="1:7" ht="57.6" x14ac:dyDescent="0.3">
      <c r="A50" s="27">
        <v>4</v>
      </c>
      <c r="B50" s="81" t="s">
        <v>129</v>
      </c>
      <c r="C50" s="81"/>
      <c r="D50" s="74"/>
      <c r="E50" s="74"/>
      <c r="G50" s="39" t="s">
        <v>27</v>
      </c>
    </row>
    <row r="51" spans="1:7" s="79" customFormat="1" ht="28.8" x14ac:dyDescent="0.3">
      <c r="A51" s="78">
        <f t="shared" si="2"/>
        <v>4.01</v>
      </c>
      <c r="B51" s="31" t="s">
        <v>126</v>
      </c>
      <c r="C51" s="18" t="s">
        <v>21</v>
      </c>
      <c r="D51" s="86"/>
      <c r="E51" s="84" t="s">
        <v>29</v>
      </c>
      <c r="G51" s="85" t="s">
        <v>27</v>
      </c>
    </row>
    <row r="52" spans="1:7" ht="28.8" x14ac:dyDescent="0.3">
      <c r="A52" s="77">
        <f t="shared" si="2"/>
        <v>4.0199999999999996</v>
      </c>
      <c r="B52" s="31" t="s">
        <v>112</v>
      </c>
      <c r="C52" s="18" t="s">
        <v>21</v>
      </c>
      <c r="D52" s="86"/>
      <c r="E52" s="40" t="s">
        <v>29</v>
      </c>
      <c r="G52" s="39" t="s">
        <v>27</v>
      </c>
    </row>
    <row r="53" spans="1:7" ht="100.8" x14ac:dyDescent="0.3">
      <c r="A53" s="77">
        <f t="shared" si="2"/>
        <v>4.0299999999999994</v>
      </c>
      <c r="B53" s="31" t="s">
        <v>113</v>
      </c>
      <c r="C53" s="18" t="s">
        <v>21</v>
      </c>
      <c r="D53" s="86"/>
      <c r="E53" s="40" t="s">
        <v>29</v>
      </c>
      <c r="G53" s="39" t="s">
        <v>27</v>
      </c>
    </row>
    <row r="54" spans="1:7" ht="28.8" x14ac:dyDescent="0.3">
      <c r="A54" s="77">
        <f t="shared" si="2"/>
        <v>4.0399999999999991</v>
      </c>
      <c r="B54" s="31" t="s">
        <v>125</v>
      </c>
      <c r="C54" s="18" t="s">
        <v>21</v>
      </c>
      <c r="D54" s="86"/>
      <c r="E54" s="40" t="s">
        <v>29</v>
      </c>
      <c r="G54" s="39" t="s">
        <v>27</v>
      </c>
    </row>
    <row r="55" spans="1:7" ht="144" x14ac:dyDescent="0.3">
      <c r="A55" s="77">
        <f t="shared" si="2"/>
        <v>4.0499999999999989</v>
      </c>
      <c r="B55" s="80" t="s">
        <v>124</v>
      </c>
      <c r="C55" s="18" t="s">
        <v>21</v>
      </c>
      <c r="D55" s="86"/>
      <c r="E55" s="40" t="s">
        <v>29</v>
      </c>
      <c r="G55" s="39" t="s">
        <v>27</v>
      </c>
    </row>
    <row r="56" spans="1:7" ht="28.8" x14ac:dyDescent="0.3">
      <c r="A56" s="77">
        <f t="shared" si="2"/>
        <v>4.0599999999999987</v>
      </c>
      <c r="B56" s="31" t="s">
        <v>114</v>
      </c>
      <c r="C56" s="18" t="s">
        <v>28</v>
      </c>
      <c r="D56" s="86"/>
      <c r="E56" s="40" t="s">
        <v>29</v>
      </c>
      <c r="G56" s="39" t="s">
        <v>27</v>
      </c>
    </row>
    <row r="57" spans="1:7" x14ac:dyDescent="0.3">
      <c r="A57" s="77">
        <f t="shared" si="2"/>
        <v>4.0699999999999985</v>
      </c>
      <c r="B57" s="31" t="s">
        <v>130</v>
      </c>
      <c r="C57" s="18" t="s">
        <v>28</v>
      </c>
      <c r="D57" s="86"/>
      <c r="E57" s="40" t="s">
        <v>29</v>
      </c>
      <c r="G57" s="39" t="s">
        <v>27</v>
      </c>
    </row>
    <row r="58" spans="1:7" x14ac:dyDescent="0.3">
      <c r="A58" s="77">
        <f t="shared" si="2"/>
        <v>4.0799999999999983</v>
      </c>
      <c r="B58" s="31" t="s">
        <v>115</v>
      </c>
      <c r="C58" s="18" t="s">
        <v>28</v>
      </c>
      <c r="D58" s="86"/>
      <c r="E58" s="40" t="s">
        <v>29</v>
      </c>
      <c r="G58" s="39" t="s">
        <v>27</v>
      </c>
    </row>
    <row r="59" spans="1:7" ht="43.2" x14ac:dyDescent="0.3">
      <c r="A59" s="77">
        <f t="shared" si="2"/>
        <v>4.0899999999999981</v>
      </c>
      <c r="B59" s="31" t="s">
        <v>116</v>
      </c>
      <c r="C59" s="18" t="s">
        <v>28</v>
      </c>
      <c r="D59" s="86"/>
      <c r="E59" s="40" t="s">
        <v>29</v>
      </c>
      <c r="G59" s="39" t="s">
        <v>27</v>
      </c>
    </row>
    <row r="60" spans="1:7" ht="28.8" x14ac:dyDescent="0.3">
      <c r="A60" s="77">
        <f t="shared" si="2"/>
        <v>4.0999999999999979</v>
      </c>
      <c r="B60" s="31" t="s">
        <v>131</v>
      </c>
      <c r="C60" s="18" t="s">
        <v>28</v>
      </c>
      <c r="D60" s="86"/>
      <c r="E60" s="75" t="s">
        <v>29</v>
      </c>
      <c r="G60" s="39" t="s">
        <v>27</v>
      </c>
    </row>
    <row r="61" spans="1:7" x14ac:dyDescent="0.3">
      <c r="A61" s="77">
        <f t="shared" si="2"/>
        <v>4.1099999999999977</v>
      </c>
      <c r="B61" s="31" t="s">
        <v>117</v>
      </c>
      <c r="C61" s="18" t="s">
        <v>28</v>
      </c>
      <c r="D61" s="86"/>
      <c r="E61" s="75" t="s">
        <v>29</v>
      </c>
      <c r="G61" s="39" t="s">
        <v>27</v>
      </c>
    </row>
    <row r="62" spans="1:7" x14ac:dyDescent="0.3">
      <c r="A62" s="77">
        <f t="shared" si="2"/>
        <v>4.1199999999999974</v>
      </c>
      <c r="B62" s="31" t="s">
        <v>118</v>
      </c>
      <c r="C62" s="18" t="s">
        <v>28</v>
      </c>
      <c r="D62" s="86"/>
      <c r="E62" s="75" t="s">
        <v>29</v>
      </c>
      <c r="G62" s="39" t="s">
        <v>27</v>
      </c>
    </row>
    <row r="63" spans="1:7" ht="28.8" x14ac:dyDescent="0.3">
      <c r="A63" s="77">
        <f t="shared" si="2"/>
        <v>4.1299999999999972</v>
      </c>
      <c r="B63" s="80" t="s">
        <v>132</v>
      </c>
      <c r="C63" s="18" t="s">
        <v>28</v>
      </c>
      <c r="D63" s="86"/>
      <c r="E63" s="75" t="s">
        <v>29</v>
      </c>
      <c r="G63" s="39" t="s">
        <v>27</v>
      </c>
    </row>
    <row r="64" spans="1:7" ht="43.2" x14ac:dyDescent="0.3">
      <c r="A64" s="27">
        <v>5</v>
      </c>
      <c r="B64" s="81" t="s">
        <v>133</v>
      </c>
      <c r="C64" s="81"/>
      <c r="D64" s="87"/>
      <c r="E64" s="74"/>
      <c r="G64" s="39" t="s">
        <v>27</v>
      </c>
    </row>
    <row r="65" spans="1:7" x14ac:dyDescent="0.3">
      <c r="A65" s="77">
        <f t="shared" si="2"/>
        <v>5.01</v>
      </c>
      <c r="B65" s="18" t="s">
        <v>134</v>
      </c>
      <c r="C65" s="18" t="s">
        <v>21</v>
      </c>
      <c r="D65" s="86"/>
      <c r="E65" s="40" t="s">
        <v>29</v>
      </c>
      <c r="G65" s="39" t="s">
        <v>27</v>
      </c>
    </row>
    <row r="66" spans="1:7" ht="191.55" customHeight="1" x14ac:dyDescent="0.3">
      <c r="A66" s="77">
        <f t="shared" si="2"/>
        <v>5.0199999999999996</v>
      </c>
      <c r="B66" s="18" t="s">
        <v>135</v>
      </c>
      <c r="C66" s="18" t="s">
        <v>21</v>
      </c>
      <c r="D66" s="86"/>
      <c r="E66" s="40" t="s">
        <v>29</v>
      </c>
      <c r="G66" s="39" t="s">
        <v>27</v>
      </c>
    </row>
    <row r="67" spans="1:7" ht="28.8" x14ac:dyDescent="0.3">
      <c r="A67" s="77">
        <f t="shared" si="2"/>
        <v>5.0299999999999994</v>
      </c>
      <c r="B67" s="18" t="s">
        <v>127</v>
      </c>
      <c r="C67" s="18" t="s">
        <v>21</v>
      </c>
      <c r="D67" s="86"/>
      <c r="E67" s="40" t="s">
        <v>29</v>
      </c>
      <c r="G67" s="39" t="s">
        <v>27</v>
      </c>
    </row>
    <row r="68" spans="1:7" ht="43.2" x14ac:dyDescent="0.3">
      <c r="A68" s="77">
        <f t="shared" si="2"/>
        <v>5.0399999999999991</v>
      </c>
      <c r="B68" s="18" t="s">
        <v>119</v>
      </c>
      <c r="C68" s="18" t="s">
        <v>21</v>
      </c>
      <c r="D68" s="86"/>
      <c r="E68" s="40" t="s">
        <v>29</v>
      </c>
      <c r="G68" s="39" t="s">
        <v>27</v>
      </c>
    </row>
    <row r="69" spans="1:7" x14ac:dyDescent="0.3">
      <c r="A69" s="77">
        <f t="shared" si="2"/>
        <v>5.0499999999999989</v>
      </c>
      <c r="B69" s="18" t="s">
        <v>128</v>
      </c>
      <c r="C69" s="18" t="s">
        <v>21</v>
      </c>
      <c r="D69" s="86"/>
      <c r="E69" s="40" t="s">
        <v>29</v>
      </c>
      <c r="G69" s="39" t="s">
        <v>27</v>
      </c>
    </row>
    <row r="70" spans="1:7" ht="28.8" x14ac:dyDescent="0.3">
      <c r="A70" s="77">
        <f t="shared" si="2"/>
        <v>5.0599999999999987</v>
      </c>
      <c r="B70" s="18" t="s">
        <v>120</v>
      </c>
      <c r="C70" s="18" t="s">
        <v>21</v>
      </c>
      <c r="D70" s="86"/>
      <c r="E70" s="40" t="s">
        <v>29</v>
      </c>
      <c r="G70" s="39" t="s">
        <v>27</v>
      </c>
    </row>
    <row r="71" spans="1:7" ht="28.8" x14ac:dyDescent="0.3">
      <c r="A71" s="77">
        <f t="shared" si="2"/>
        <v>5.0699999999999985</v>
      </c>
      <c r="B71" s="18" t="s">
        <v>121</v>
      </c>
      <c r="C71" s="18" t="s">
        <v>21</v>
      </c>
      <c r="D71" s="86"/>
      <c r="E71" s="40" t="s">
        <v>29</v>
      </c>
      <c r="G71" s="39" t="s">
        <v>27</v>
      </c>
    </row>
    <row r="72" spans="1:7" ht="144" x14ac:dyDescent="0.3">
      <c r="A72" s="77">
        <f t="shared" si="2"/>
        <v>5.0799999999999983</v>
      </c>
      <c r="B72" s="18" t="s">
        <v>124</v>
      </c>
      <c r="C72" s="18" t="s">
        <v>21</v>
      </c>
      <c r="D72" s="86"/>
      <c r="E72" s="40" t="s">
        <v>29</v>
      </c>
      <c r="G72" s="39" t="s">
        <v>27</v>
      </c>
    </row>
    <row r="73" spans="1:7" ht="28.8" x14ac:dyDescent="0.3">
      <c r="A73" s="77">
        <f t="shared" si="2"/>
        <v>5.0899999999999981</v>
      </c>
      <c r="B73" s="82" t="s">
        <v>131</v>
      </c>
      <c r="C73" s="83" t="s">
        <v>21</v>
      </c>
      <c r="D73" s="86"/>
      <c r="E73" s="40" t="s">
        <v>29</v>
      </c>
      <c r="G73" s="39" t="s">
        <v>27</v>
      </c>
    </row>
    <row r="74" spans="1:7" x14ac:dyDescent="0.3">
      <c r="A74" s="77">
        <f t="shared" si="2"/>
        <v>5.0999999999999979</v>
      </c>
      <c r="B74" s="18" t="s">
        <v>122</v>
      </c>
      <c r="C74" s="18" t="s">
        <v>28</v>
      </c>
      <c r="D74" s="86"/>
      <c r="E74" s="75" t="s">
        <v>29</v>
      </c>
      <c r="G74" s="39" t="s">
        <v>27</v>
      </c>
    </row>
    <row r="75" spans="1:7" x14ac:dyDescent="0.3">
      <c r="A75" s="77">
        <f t="shared" si="2"/>
        <v>5.1099999999999977</v>
      </c>
      <c r="B75" s="18" t="s">
        <v>123</v>
      </c>
      <c r="C75" s="18" t="s">
        <v>28</v>
      </c>
      <c r="D75" s="86"/>
      <c r="E75" s="75" t="s">
        <v>29</v>
      </c>
      <c r="G75" s="39" t="s">
        <v>27</v>
      </c>
    </row>
    <row r="76" spans="1:7" x14ac:dyDescent="0.3">
      <c r="A76" s="77">
        <f t="shared" si="2"/>
        <v>5.1199999999999974</v>
      </c>
      <c r="B76" s="31" t="s">
        <v>118</v>
      </c>
      <c r="C76" s="18" t="s">
        <v>28</v>
      </c>
      <c r="D76" s="86"/>
      <c r="E76" s="75" t="s">
        <v>29</v>
      </c>
      <c r="G76" s="39" t="s">
        <v>27</v>
      </c>
    </row>
    <row r="77" spans="1:7" x14ac:dyDescent="0.3"/>
    <row r="78" spans="1:7" x14ac:dyDescent="0.3"/>
    <row r="79" spans="1:7" x14ac:dyDescent="0.3"/>
    <row r="80" spans="1:7"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sheetData>
  <sheetProtection algorithmName="SHA-512" hashValue="Jr7ovYCd0V1Rb+ftQasCWrK108cKgsd5mZVZI3vWdDHGBJ1SQSmgEtrTt5gGzyN2GGBsPfJN59fkjBOSxRBFQQ==" saltValue="lTnW8fGU3TwJ6csoY6U/uQ==" spinCount="100000" sheet="1" formatColumns="0" formatRows="0" insertHyperlinks="0"/>
  <protectedRanges>
    <protectedRange sqref="E22:E30 E32:E38 E40:E49 E51:E63 E65:E76" name="Soln Cat Req_2"/>
  </protectedRanges>
  <mergeCells count="2">
    <mergeCell ref="A6:E6"/>
    <mergeCell ref="A5:E5"/>
  </mergeCells>
  <conditionalFormatting sqref="D22:D30 D32:D38 D40:D49 D65:D76">
    <cfRule type="expression" dxfId="9" priority="12">
      <formula>(AND(C22="Mandatory",D22="No"))</formula>
    </cfRule>
    <cfRule type="containsBlanks" dxfId="8" priority="16">
      <formula>LEN(TRIM(D22))=0</formula>
    </cfRule>
  </conditionalFormatting>
  <conditionalFormatting sqref="D51:D63">
    <cfRule type="expression" dxfId="7" priority="3">
      <formula>(AND(C51="Mandatory",D51="No"))</formula>
    </cfRule>
    <cfRule type="containsBlanks" dxfId="6" priority="4">
      <formula>LEN(TRIM(D51))=0</formula>
    </cfRule>
  </conditionalFormatting>
  <conditionalFormatting sqref="E1:E19 E77:E1048576">
    <cfRule type="expression" dxfId="5" priority="5">
      <formula>"&lt;Leave as blank as no remarks are required&gt;"</formula>
    </cfRule>
  </conditionalFormatting>
  <hyperlinks>
    <hyperlink ref="A1" r:id="rId1" xr:uid="{0FF87E3E-A343-461F-BC2B-14D661C17F65}"/>
    <hyperlink ref="G22" location="'Solution Category Requirements'!A3" display="Return to the top" xr:uid="{0CF37E7D-8FB6-4A9A-8095-84D709228F57}"/>
    <hyperlink ref="G23:G48" location="'Solution Category Requirements'!A3" display="Return to the top" xr:uid="{5B8E86BE-DB5F-4736-951E-589E78029B30}"/>
    <hyperlink ref="G21" location="'Solution Category Requirements'!A3" display="Return to the top" xr:uid="{547E7CE4-E8CD-46F8-9B0C-FAF63DD24057}"/>
    <hyperlink ref="B14" location="'Solution Category Requirements'!A17" display="Mobile-Enabled Patrol and Incident Management" xr:uid="{4747BF0C-3C70-43B8-BFDE-6602CBA0774B}"/>
    <hyperlink ref="B15" location="'Solution Category Requirements'!A29" display="Automated Visitor Management" xr:uid="{09C773E5-47D2-4F39-B2DD-4BB0395B73FF}"/>
    <hyperlink ref="B16" location="'Solution Category Requirements'!A37" display="Onsite Surveillance and Analytics" xr:uid="{7C6CFBF8-7B59-430B-B7F0-98684AEFAE14}"/>
    <hyperlink ref="G49" location="'Solution Category Requirements'!A3" display="Return to the top" xr:uid="{DA000050-01AF-4AD6-AFF1-FBB0F0A9C239}"/>
    <hyperlink ref="G51" location="'Solution Category Requirements'!A3" display="Return to the top" xr:uid="{840A28BB-A8D9-459E-8382-3F07D6908C7B}"/>
    <hyperlink ref="G50" location="'Solution Category Requirements'!A3" display="Return to the top" xr:uid="{5578117F-DCD6-4E70-B691-56184E8CDF05}"/>
    <hyperlink ref="B18" location="'Solution Category Requirements'!A64" display="Security Collaboration Platform" xr:uid="{DA5098D5-DE22-4EEE-832F-F32F1DFD6AF0}"/>
    <hyperlink ref="B17" location="'Solution Category Requirements'!A50" display="Security Robots" xr:uid="{E8FE93E7-3DDE-4152-B5C6-E96FC35D7099}"/>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D22:D30 D32:D38 D40:D49 D51:D63 D65:D76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52.77734375" style="1" customWidth="1"/>
    <col min="4" max="5" width="9.21875" style="1" customWidth="1"/>
    <col min="6" max="16384" width="9.21875" style="1" hidden="1"/>
  </cols>
  <sheetData>
    <row r="1" spans="1:4" x14ac:dyDescent="0.3">
      <c r="A1" s="34" t="s">
        <v>0</v>
      </c>
      <c r="C1" s="10" t="str">
        <f>Instructions!$C$1</f>
        <v>Version: 25-2.0</v>
      </c>
    </row>
    <row r="2" spans="1:4" x14ac:dyDescent="0.3">
      <c r="C2" s="32">
        <f>Instructions!$C$2</f>
        <v>45778</v>
      </c>
    </row>
    <row r="3" spans="1:4" ht="32.1" customHeight="1" x14ac:dyDescent="0.3">
      <c r="A3" s="95" t="s">
        <v>30</v>
      </c>
      <c r="B3" s="95"/>
      <c r="C3" s="23"/>
      <c r="D3" s="6"/>
    </row>
    <row r="4" spans="1:4" x14ac:dyDescent="0.3">
      <c r="A4" s="53"/>
      <c r="B4" s="53"/>
    </row>
    <row r="5" spans="1:4" ht="142.5" customHeight="1" x14ac:dyDescent="0.3">
      <c r="A5" s="97" t="s">
        <v>148</v>
      </c>
      <c r="B5" s="96"/>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31</v>
      </c>
      <c r="B12" s="4"/>
    </row>
    <row r="13" spans="1:4" ht="49.5" customHeight="1" x14ac:dyDescent="0.3">
      <c r="A13" s="62" t="s">
        <v>32</v>
      </c>
      <c r="B13" s="67" t="s">
        <v>109</v>
      </c>
    </row>
    <row r="14" spans="1:4" ht="38.25" customHeight="1" x14ac:dyDescent="0.3">
      <c r="A14" s="61" t="s">
        <v>33</v>
      </c>
      <c r="B14" s="73" t="str">
        <f>'Survey link'!D6</f>
        <v>This cell will automatically generate a link once you have filled up your company name and proposed solution name in General Assessment worksheet.</v>
      </c>
      <c r="C14" s="4" t="s">
        <v>140</v>
      </c>
    </row>
    <row r="15" spans="1:4" ht="33.75" customHeight="1" x14ac:dyDescent="0.3">
      <c r="B15" s="4"/>
    </row>
    <row r="16" spans="1:4" ht="32.25" customHeight="1" x14ac:dyDescent="0.3">
      <c r="A16" s="63" t="s">
        <v>34</v>
      </c>
      <c r="B16" s="60" t="s">
        <v>35</v>
      </c>
    </row>
    <row r="17" spans="1:2" x14ac:dyDescent="0.3">
      <c r="B17" s="52" t="s">
        <v>36</v>
      </c>
    </row>
    <row r="18" spans="1:2" x14ac:dyDescent="0.3">
      <c r="A18" s="3"/>
      <c r="B18" s="72">
        <v>0</v>
      </c>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Boz37kArTW/P/QFW6+BJO5HuDlVC1+cQUDzO9R+Af/qf255esx4gQJ9kK+PhTKaaJKBrMyLdTbvJV+zyyVWZBA==" saltValue="LH88u7kR6AMhBMr38V2EgQ=="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hyperlinks>
    <hyperlink ref="A1" r:id="rId1" xr:uid="{F85654E6-2625-45DE-85E3-F559A1B06C7E}"/>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B88860-D63B-4D71-9464-1317B7D9AB89}">
          <x14:formula1>
            <xm:f>'Survey link'!$F$1:$F$6</xm:f>
          </x14:formula1>
          <xm:sqref>B18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70" zoomScaleNormal="70" workbookViewId="0">
      <selection activeCell="B10" sqref="B10"/>
    </sheetView>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34" t="s">
        <v>0</v>
      </c>
      <c r="C1" s="5" t="str">
        <f>Instructions!C1</f>
        <v>Version: 25-2.0</v>
      </c>
    </row>
    <row r="2" spans="1:3" x14ac:dyDescent="0.3">
      <c r="C2" s="33">
        <f>Instructions!C2</f>
        <v>45778</v>
      </c>
    </row>
    <row r="3" spans="1:3" s="7" customFormat="1" ht="32.1" customHeight="1" x14ac:dyDescent="0.3">
      <c r="A3" s="95" t="s">
        <v>37</v>
      </c>
      <c r="B3" s="95"/>
      <c r="C3" s="95"/>
    </row>
    <row r="4" spans="1:3" x14ac:dyDescent="0.3"/>
    <row r="5" spans="1:3" ht="21.6" thickBot="1" x14ac:dyDescent="0.45">
      <c r="A5" s="49" t="s">
        <v>38</v>
      </c>
    </row>
    <row r="6" spans="1:3" s="21" customFormat="1" ht="15.6" x14ac:dyDescent="0.3">
      <c r="A6" s="44" t="s">
        <v>39</v>
      </c>
      <c r="B6" s="48" t="s">
        <v>40</v>
      </c>
      <c r="C6" s="47" t="s">
        <v>41</v>
      </c>
    </row>
    <row r="7" spans="1:3" ht="142.05000000000001" customHeight="1" thickBot="1" x14ac:dyDescent="0.35">
      <c r="A7" s="41"/>
      <c r="B7" s="42"/>
      <c r="C7" s="43" t="str">
        <f>IF(AND('Data for graphs'!N2=100%,'Data for graphs'!E25=0),"Proceed","Do not submit")</f>
        <v>Do not submit</v>
      </c>
    </row>
    <row r="8" spans="1:3" ht="15" thickBot="1" x14ac:dyDescent="0.35"/>
    <row r="9" spans="1:3" s="21" customFormat="1" x14ac:dyDescent="0.3">
      <c r="A9" s="46" t="s">
        <v>5</v>
      </c>
      <c r="B9" s="48" t="s">
        <v>40</v>
      </c>
      <c r="C9" s="47"/>
    </row>
    <row r="10" spans="1:3" ht="142.05000000000001" customHeight="1" thickBot="1" x14ac:dyDescent="0.35">
      <c r="A10" s="41"/>
      <c r="B10" s="42"/>
      <c r="C10" s="45" t="str">
        <f>HYPERLINK("#'General Assessment'!A1", "Return to General Assessment")</f>
        <v>Return to General Assessment</v>
      </c>
    </row>
    <row r="11" spans="1:3" ht="15" thickBot="1" x14ac:dyDescent="0.35"/>
    <row r="12" spans="1:3" s="21" customFormat="1" x14ac:dyDescent="0.3">
      <c r="A12" s="46" t="s">
        <v>42</v>
      </c>
      <c r="B12" s="48" t="s">
        <v>40</v>
      </c>
      <c r="C12" s="47"/>
    </row>
    <row r="13" spans="1:3" ht="142.05000000000001" customHeight="1" thickBot="1" x14ac:dyDescent="0.35">
      <c r="A13" s="41"/>
      <c r="B13" s="42"/>
      <c r="C13" s="45" t="str">
        <f>HYPERLINK("#'Solution Category Requirements'!A1", "Return to Solution Category Requirements")</f>
        <v>Return to Solution Category Requirements</v>
      </c>
    </row>
    <row r="14" spans="1:3" ht="15" thickBot="1" x14ac:dyDescent="0.35"/>
    <row r="15" spans="1:3" s="21" customFormat="1" x14ac:dyDescent="0.3">
      <c r="A15" s="46" t="s">
        <v>30</v>
      </c>
      <c r="B15" s="48" t="s">
        <v>40</v>
      </c>
      <c r="C15" s="47"/>
    </row>
    <row r="16" spans="1:3" ht="142.05000000000001" customHeight="1" thickBot="1" x14ac:dyDescent="0.35">
      <c r="A16" s="41"/>
      <c r="B16" s="42"/>
      <c r="C16" s="45" t="str">
        <f>HYPERLINK("#'Satisfaction Survey'!A4", "Return to Satisfaction Survey")</f>
        <v>Return to Satisfaction Survey</v>
      </c>
    </row>
    <row r="17" x14ac:dyDescent="0.3"/>
  </sheetData>
  <sheetProtection algorithmName="SHA-512" hashValue="d5GKfXT0fhxh6us3RfT0hlMn+8Rc7uQOpo34GTtOO6+kqDumBW8N8JBzgjQFTGq+Q5otRAtOhVRqY0ktbBokYw==" saltValue="6e8hyjdfXVERqelKoYRxDg=="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7" sqref="B7"/>
    </sheetView>
  </sheetViews>
  <sheetFormatPr defaultRowHeight="14.4" x14ac:dyDescent="0.3"/>
  <cols>
    <col min="2" max="2" width="45.5546875" bestFit="1" customWidth="1"/>
    <col min="3" max="3" width="13.21875" bestFit="1" customWidth="1"/>
  </cols>
  <sheetData>
    <row r="1" spans="1:19" x14ac:dyDescent="0.3">
      <c r="A1" t="s">
        <v>43</v>
      </c>
      <c r="E1" t="s">
        <v>44</v>
      </c>
      <c r="H1" t="s">
        <v>45</v>
      </c>
      <c r="M1" t="s">
        <v>39</v>
      </c>
    </row>
    <row r="2" spans="1:19" x14ac:dyDescent="0.3">
      <c r="A2" t="s">
        <v>46</v>
      </c>
      <c r="B2" s="13">
        <f>COUNTIF('General Assessment'!D12:D21,"Yes")/B6+COUNTIF('General Assessment'!D12:D21,"No")/B6</f>
        <v>0</v>
      </c>
      <c r="E2" t="s">
        <v>47</v>
      </c>
      <c r="F2" s="14">
        <f>B13</f>
        <v>0</v>
      </c>
      <c r="H2" t="s">
        <v>47</v>
      </c>
      <c r="I2" s="13">
        <f>J2/5</f>
        <v>0</v>
      </c>
      <c r="J2">
        <f>'Satisfaction Survey'!B18</f>
        <v>0</v>
      </c>
      <c r="M2" t="s">
        <v>47</v>
      </c>
      <c r="N2" s="13">
        <f>SUM(B2,F2,I2)/3</f>
        <v>0</v>
      </c>
    </row>
    <row r="3" spans="1:19" x14ac:dyDescent="0.3">
      <c r="A3" t="s">
        <v>48</v>
      </c>
      <c r="B3" s="14">
        <f>100%-B2</f>
        <v>1</v>
      </c>
      <c r="E3" t="s">
        <v>48</v>
      </c>
      <c r="F3" s="14">
        <f t="shared" ref="F3:F5" si="0">B14</f>
        <v>1</v>
      </c>
      <c r="H3" t="s">
        <v>49</v>
      </c>
      <c r="I3" s="13">
        <f>1-I2</f>
        <v>1</v>
      </c>
      <c r="J3">
        <f>5-J2</f>
        <v>5</v>
      </c>
      <c r="M3" t="s">
        <v>48</v>
      </c>
      <c r="N3" s="13">
        <f>SUM(B3,F3,I3)/3</f>
        <v>1</v>
      </c>
    </row>
    <row r="4" spans="1:19" x14ac:dyDescent="0.3">
      <c r="A4" t="s">
        <v>50</v>
      </c>
      <c r="B4" s="13">
        <f>COUNTIF('General Assessment'!D15:D21,"Yes")/B6</f>
        <v>0</v>
      </c>
      <c r="E4" t="s">
        <v>50</v>
      </c>
      <c r="F4" s="14">
        <f t="shared" si="0"/>
        <v>0</v>
      </c>
      <c r="H4" t="s">
        <v>50</v>
      </c>
    </row>
    <row r="5" spans="1:19" x14ac:dyDescent="0.3">
      <c r="A5" t="s">
        <v>51</v>
      </c>
      <c r="B5" s="13">
        <f>COUNTIF('General Assessment'!D15:D21,"No")/B6</f>
        <v>0</v>
      </c>
      <c r="E5" t="s">
        <v>51</v>
      </c>
      <c r="F5" s="14">
        <f t="shared" si="0"/>
        <v>0</v>
      </c>
      <c r="H5" t="s">
        <v>51</v>
      </c>
    </row>
    <row r="6" spans="1:19" x14ac:dyDescent="0.3">
      <c r="A6" t="s">
        <v>52</v>
      </c>
      <c r="B6">
        <f>COUNTIF('General Assessment'!A12:A26, "&lt;&gt;")</f>
        <v>10</v>
      </c>
    </row>
    <row r="7" spans="1:19" x14ac:dyDescent="0.3">
      <c r="S7" t="s">
        <v>53</v>
      </c>
    </row>
    <row r="9" spans="1:19" x14ac:dyDescent="0.3">
      <c r="A9" t="s">
        <v>54</v>
      </c>
    </row>
    <row r="11" spans="1:19" x14ac:dyDescent="0.3">
      <c r="A11" t="s">
        <v>44</v>
      </c>
    </row>
    <row r="12" spans="1:19" x14ac:dyDescent="0.3">
      <c r="B12" t="s">
        <v>44</v>
      </c>
      <c r="C12" s="68">
        <v>1</v>
      </c>
      <c r="D12" s="68">
        <v>2</v>
      </c>
      <c r="E12" s="68">
        <v>3</v>
      </c>
      <c r="F12" s="68">
        <v>4</v>
      </c>
      <c r="G12" s="68">
        <v>5</v>
      </c>
      <c r="H12" s="68">
        <v>6</v>
      </c>
      <c r="I12" s="68">
        <v>7</v>
      </c>
      <c r="J12" s="68">
        <v>8</v>
      </c>
      <c r="K12" s="68">
        <v>9</v>
      </c>
      <c r="L12" s="68">
        <v>10</v>
      </c>
      <c r="M12" s="68">
        <v>11</v>
      </c>
      <c r="N12" s="68">
        <v>12</v>
      </c>
      <c r="O12" s="68">
        <v>13</v>
      </c>
      <c r="P12" s="68">
        <v>14</v>
      </c>
      <c r="Q12" s="68">
        <v>15</v>
      </c>
      <c r="R12" s="68">
        <v>16</v>
      </c>
      <c r="S12" s="68">
        <v>17</v>
      </c>
    </row>
    <row r="13" spans="1:19" x14ac:dyDescent="0.3">
      <c r="A13" t="s">
        <v>47</v>
      </c>
      <c r="B13" s="13" cm="1">
        <f t="array" ref="B13">IFERROR(INDEX(C13:R13, MATCH(TRUE, C13:R13&gt;0, 0)), 0)</f>
        <v>0</v>
      </c>
      <c r="C13" s="50">
        <f>SUM(C15:C16)</f>
        <v>0</v>
      </c>
      <c r="D13" s="50">
        <f t="shared" ref="D13:R13" si="1">SUM(D15:D16)</f>
        <v>0</v>
      </c>
      <c r="E13" s="50">
        <f t="shared" si="1"/>
        <v>0</v>
      </c>
      <c r="F13" s="50">
        <f t="shared" si="1"/>
        <v>0</v>
      </c>
      <c r="G13" s="50">
        <f t="shared" si="1"/>
        <v>0</v>
      </c>
      <c r="H13" s="50" t="e">
        <f t="shared" si="1"/>
        <v>#DIV/0!</v>
      </c>
      <c r="I13" s="50" t="e">
        <f t="shared" si="1"/>
        <v>#DIV/0!</v>
      </c>
      <c r="J13" s="50" t="e">
        <f t="shared" si="1"/>
        <v>#DIV/0!</v>
      </c>
      <c r="K13" s="50" t="e">
        <f t="shared" si="1"/>
        <v>#DIV/0!</v>
      </c>
      <c r="L13" s="50" t="e">
        <f t="shared" si="1"/>
        <v>#DIV/0!</v>
      </c>
      <c r="M13" s="50" t="e">
        <f t="shared" si="1"/>
        <v>#DIV/0!</v>
      </c>
      <c r="N13" s="50" t="e">
        <f t="shared" si="1"/>
        <v>#DIV/0!</v>
      </c>
      <c r="O13" s="50" t="e">
        <f t="shared" si="1"/>
        <v>#DIV/0!</v>
      </c>
      <c r="P13" s="50" t="e">
        <f t="shared" si="1"/>
        <v>#DIV/0!</v>
      </c>
      <c r="Q13" s="50" t="e">
        <f t="shared" si="1"/>
        <v>#DIV/0!</v>
      </c>
      <c r="R13" s="50" t="e">
        <f t="shared" si="1"/>
        <v>#DIV/0!</v>
      </c>
    </row>
    <row r="14" spans="1:19" x14ac:dyDescent="0.3">
      <c r="A14" t="s">
        <v>48</v>
      </c>
      <c r="B14" s="14">
        <f>100%-B13</f>
        <v>1</v>
      </c>
      <c r="C14" s="14">
        <f>100%-C13</f>
        <v>1</v>
      </c>
      <c r="D14" s="14">
        <f t="shared" ref="D14:R14" si="2">100%-D13</f>
        <v>1</v>
      </c>
      <c r="E14" s="14">
        <f t="shared" si="2"/>
        <v>1</v>
      </c>
      <c r="F14" s="14">
        <f t="shared" si="2"/>
        <v>1</v>
      </c>
      <c r="G14" s="14">
        <f t="shared" si="2"/>
        <v>1</v>
      </c>
      <c r="H14" s="14" t="e">
        <f t="shared" si="2"/>
        <v>#DIV/0!</v>
      </c>
      <c r="I14" s="14" t="e">
        <f t="shared" si="2"/>
        <v>#DIV/0!</v>
      </c>
      <c r="J14" s="14" t="e">
        <f t="shared" si="2"/>
        <v>#DIV/0!</v>
      </c>
      <c r="K14" s="14" t="e">
        <f t="shared" si="2"/>
        <v>#DIV/0!</v>
      </c>
      <c r="L14" s="14" t="e">
        <f t="shared" si="2"/>
        <v>#DIV/0!</v>
      </c>
      <c r="M14" s="14" t="e">
        <f t="shared" si="2"/>
        <v>#DIV/0!</v>
      </c>
      <c r="N14" s="14" t="e">
        <f t="shared" si="2"/>
        <v>#DIV/0!</v>
      </c>
      <c r="O14" s="14" t="e">
        <f t="shared" si="2"/>
        <v>#DIV/0!</v>
      </c>
      <c r="P14" s="14" t="e">
        <f t="shared" si="2"/>
        <v>#DIV/0!</v>
      </c>
      <c r="Q14" s="14" t="e">
        <f t="shared" si="2"/>
        <v>#DIV/0!</v>
      </c>
      <c r="R14" s="14" t="e">
        <f t="shared" si="2"/>
        <v>#DIV/0!</v>
      </c>
    </row>
    <row r="15" spans="1:19" x14ac:dyDescent="0.3">
      <c r="A15" t="s">
        <v>50</v>
      </c>
      <c r="B15" s="13">
        <f>HLOOKUP(B13,C13:R16,3)</f>
        <v>0</v>
      </c>
      <c r="C15" s="13">
        <f>COUNTIFS('Solution Category Requirements'!$A$19:$A$214,"&gt;"&amp;C12,'Solution Category Requirements'!$A$19:$A$214,"&lt;"&amp;D12,'Solution Category Requirements'!$D$19:$D$214,"Yes")/C17</f>
        <v>0</v>
      </c>
      <c r="D15" s="13">
        <f>COUNTIFS('Solution Category Requirements'!$A$19:$A$214,"&gt;"&amp;D12,'Solution Category Requirements'!$A$19:$A$214,"&lt;"&amp;E12,'Solution Category Requirements'!$D$19:$D$214,"Yes")/D17</f>
        <v>0</v>
      </c>
      <c r="E15" s="13">
        <f>COUNTIFS('Solution Category Requirements'!$A$19:$A$214,"&gt;"&amp;E12,'Solution Category Requirements'!$A$19:$A$214,"&lt;"&amp;F12,'Solution Category Requirements'!$D$19:$D$214,"Yes")/E17</f>
        <v>0</v>
      </c>
      <c r="F15" s="13">
        <f>COUNTIFS('Solution Category Requirements'!$A$19:$A$214,"&gt;"&amp;F12,'Solution Category Requirements'!$A$19:$A$214,"&lt;"&amp;G12,'Solution Category Requirements'!$D$19:$D$214,"Yes")/F17</f>
        <v>0</v>
      </c>
      <c r="G15" s="13">
        <f>COUNTIFS('Solution Category Requirements'!$A$19:$A$214,"&gt;"&amp;G12,'Solution Category Requirements'!$A$19:$A$214,"&lt;"&amp;H12,'Solution Category Requirements'!$D$19:$D$214,"Yes")/G17</f>
        <v>0</v>
      </c>
      <c r="H15" s="13" t="e">
        <f>COUNTIFS('Solution Category Requirements'!$A$19:$A$214,"&gt;"&amp;H12,'Solution Category Requirements'!$A$19:$A$214,"&lt;"&amp;I12,'Solution Category Requirements'!$D$19:$D$214,"Yes")/H17</f>
        <v>#DIV/0!</v>
      </c>
      <c r="I15" s="13" t="e">
        <f>COUNTIFS('Solution Category Requirements'!$A$19:$A$214,"&gt;"&amp;I12,'Solution Category Requirements'!$A$19:$A$214,"&lt;"&amp;J12,'Solution Category Requirements'!$D$19:$D$214,"Yes")/I17</f>
        <v>#DIV/0!</v>
      </c>
      <c r="J15" s="13" t="e">
        <f>COUNTIFS('Solution Category Requirements'!$A$19:$A$214,"&gt;"&amp;J12,'Solution Category Requirements'!$A$19:$A$214,"&lt;"&amp;K12,'Solution Category Requirements'!$D$19:$D$214,"Yes")/J17</f>
        <v>#DIV/0!</v>
      </c>
      <c r="K15" s="13" t="e">
        <f>COUNTIFS('Solution Category Requirements'!$A$19:$A$214,"&gt;"&amp;K12,'Solution Category Requirements'!$A$19:$A$214,"&lt;"&amp;L12,'Solution Category Requirements'!$D$19:$D$214,"Yes")/K17</f>
        <v>#DIV/0!</v>
      </c>
      <c r="L15" s="13" t="e">
        <f>COUNTIFS('Solution Category Requirements'!$A$19:$A$214,"&gt;"&amp;L12,'Solution Category Requirements'!$A$19:$A$214,"&lt;"&amp;M12,'Solution Category Requirements'!$D$19:$D$214,"Yes")/L17</f>
        <v>#DIV/0!</v>
      </c>
      <c r="M15" s="13" t="e">
        <f>COUNTIFS('Solution Category Requirements'!$A$19:$A$214,"&gt;"&amp;M12,'Solution Category Requirements'!$A$19:$A$214,"&lt;"&amp;N12,'Solution Category Requirements'!$D$19:$D$214,"Yes")/M17</f>
        <v>#DIV/0!</v>
      </c>
      <c r="N15" s="13" t="e">
        <f>COUNTIFS('Solution Category Requirements'!$A$19:$A$214,"&gt;"&amp;N12,'Solution Category Requirements'!$A$19:$A$214,"&lt;"&amp;O12,'Solution Category Requirements'!$D$19:$D$214,"Yes")/N17</f>
        <v>#DIV/0!</v>
      </c>
      <c r="O15" s="13" t="e">
        <f>COUNTIFS('Solution Category Requirements'!$A$19:$A$214,"&gt;"&amp;O12,'Solution Category Requirements'!$A$19:$A$214,"&lt;"&amp;P12,'Solution Category Requirements'!$D$19:$D$214,"Yes")/O17</f>
        <v>#DIV/0!</v>
      </c>
      <c r="P15" s="13" t="e">
        <f>COUNTIFS('Solution Category Requirements'!$A$19:$A$214,"&gt;"&amp;P12,'Solution Category Requirements'!$A$19:$A$214,"&lt;"&amp;Q12,'Solution Category Requirements'!$D$19:$D$214,"Yes")/P17</f>
        <v>#DIV/0!</v>
      </c>
      <c r="Q15" s="13" t="e">
        <f>COUNTIFS('Solution Category Requirements'!$A$19:$A$214,"&gt;"&amp;Q12,'Solution Category Requirements'!$A$19:$A$214,"&lt;"&amp;R12,'Solution Category Requirements'!$D$19:$D$214,"Yes")/Q17</f>
        <v>#DIV/0!</v>
      </c>
      <c r="R15" s="13" t="e">
        <f>COUNTIFS('Solution Category Requirements'!$A$19:$A$214,"&gt;"&amp;R12,'Solution Category Requirements'!$A$19:$A$214,"&lt;"&amp;S12,'Solution Category Requirements'!$D$19:$D$214,"Yes")/R17</f>
        <v>#DIV/0!</v>
      </c>
    </row>
    <row r="16" spans="1:19" x14ac:dyDescent="0.3">
      <c r="A16" t="s">
        <v>51</v>
      </c>
      <c r="B16" s="13">
        <f>HLOOKUP(B13,C13:R16,4)</f>
        <v>0</v>
      </c>
      <c r="C16" s="13">
        <f>COUNTIFS('Solution Category Requirements'!$A$19:$A$214,"&gt;"&amp;C12,'Solution Category Requirements'!$A$19:$A$214,"&lt;"&amp;D12,'Solution Category Requirements'!$D$19:$D$214,"No")/C17</f>
        <v>0</v>
      </c>
      <c r="D16" s="13">
        <f>COUNTIFS('Solution Category Requirements'!$A$19:$A$214,"&gt;"&amp;D12,'Solution Category Requirements'!$A$19:$A$214,"&lt;"&amp;E12,'Solution Category Requirements'!$D$19:$D$214,"No")/D17</f>
        <v>0</v>
      </c>
      <c r="E16" s="13">
        <f>COUNTIFS('Solution Category Requirements'!$A$19:$A$214,"&gt;"&amp;E12,'Solution Category Requirements'!$A$19:$A$214,"&lt;"&amp;F12,'Solution Category Requirements'!$D$19:$D$214,"No")/E17</f>
        <v>0</v>
      </c>
      <c r="F16" s="13">
        <f>COUNTIFS('Solution Category Requirements'!$A$19:$A$214,"&gt;"&amp;F12,'Solution Category Requirements'!$A$19:$A$214,"&lt;"&amp;G12,'Solution Category Requirements'!$D$19:$D$214,"No")/F17</f>
        <v>0</v>
      </c>
      <c r="G16" s="13">
        <f>COUNTIFS('Solution Category Requirements'!$A$19:$A$214,"&gt;"&amp;G12,'Solution Category Requirements'!$A$19:$A$214,"&lt;"&amp;H12,'Solution Category Requirements'!$D$19:$D$214,"No")/G17</f>
        <v>0</v>
      </c>
      <c r="H16" s="13" t="e">
        <f>COUNTIFS('Solution Category Requirements'!$A$19:$A$214,"&gt;"&amp;H12,'Solution Category Requirements'!$A$19:$A$214,"&lt;"&amp;I12,'Solution Category Requirements'!$D$19:$D$214,"No")/H17</f>
        <v>#DIV/0!</v>
      </c>
      <c r="I16" s="13" t="e">
        <f>COUNTIFS('Solution Category Requirements'!$A$19:$A$214,"&gt;"&amp;I12,'Solution Category Requirements'!$A$19:$A$214,"&lt;"&amp;J12,'Solution Category Requirements'!$D$19:$D$214,"No")/I17</f>
        <v>#DIV/0!</v>
      </c>
      <c r="J16" s="13" t="e">
        <f>COUNTIFS('Solution Category Requirements'!$A$19:$A$214,"&gt;"&amp;J12,'Solution Category Requirements'!$A$19:$A$214,"&lt;"&amp;K12,'Solution Category Requirements'!$D$19:$D$214,"No")/J17</f>
        <v>#DIV/0!</v>
      </c>
      <c r="K16" s="13" t="e">
        <f>COUNTIFS('Solution Category Requirements'!$A$19:$A$214,"&gt;"&amp;K12,'Solution Category Requirements'!$A$19:$A$214,"&lt;"&amp;L12,'Solution Category Requirements'!$D$19:$D$214,"No")/K17</f>
        <v>#DIV/0!</v>
      </c>
      <c r="L16" s="13" t="e">
        <f>COUNTIFS('Solution Category Requirements'!$A$19:$A$214,"&gt;"&amp;L12,'Solution Category Requirements'!$A$19:$A$214,"&lt;"&amp;M12,'Solution Category Requirements'!$D$19:$D$214,"No")/L17</f>
        <v>#DIV/0!</v>
      </c>
      <c r="M16" s="13" t="e">
        <f>COUNTIFS('Solution Category Requirements'!$A$19:$A$214,"&gt;"&amp;M12,'Solution Category Requirements'!$A$19:$A$214,"&lt;"&amp;N12,'Solution Category Requirements'!$D$19:$D$214,"No")/M17</f>
        <v>#DIV/0!</v>
      </c>
      <c r="N16" s="13" t="e">
        <f>COUNTIFS('Solution Category Requirements'!$A$19:$A$214,"&gt;"&amp;N12,'Solution Category Requirements'!$A$19:$A$214,"&lt;"&amp;O12,'Solution Category Requirements'!$D$19:$D$214,"No")/N17</f>
        <v>#DIV/0!</v>
      </c>
      <c r="O16" s="13" t="e">
        <f>COUNTIFS('Solution Category Requirements'!$A$19:$A$214,"&gt;"&amp;O12,'Solution Category Requirements'!$A$19:$A$214,"&lt;"&amp;P12,'Solution Category Requirements'!$D$19:$D$214,"No")/O17</f>
        <v>#DIV/0!</v>
      </c>
      <c r="P16" s="13" t="e">
        <f>COUNTIFS('Solution Category Requirements'!$A$19:$A$214,"&gt;"&amp;P12,'Solution Category Requirements'!$A$19:$A$214,"&lt;"&amp;Q12,'Solution Category Requirements'!$D$19:$D$214,"No")/P17</f>
        <v>#DIV/0!</v>
      </c>
      <c r="Q16" s="13" t="e">
        <f>COUNTIFS('Solution Category Requirements'!$A$19:$A$214,"&gt;"&amp;Q12,'Solution Category Requirements'!$A$19:$A$214,"&lt;"&amp;R12,'Solution Category Requirements'!$D$19:$D$214,"No")/Q17</f>
        <v>#DIV/0!</v>
      </c>
      <c r="R16" s="13" t="e">
        <f>COUNTIFS('Solution Category Requirements'!$A$19:$A$214,"&gt;"&amp;R12,'Solution Category Requirements'!$A$19:$A$214,"&lt;"&amp;S12,'Solution Category Requirements'!$D$19:$D$214,"No")/R17</f>
        <v>#DIV/0!</v>
      </c>
    </row>
    <row r="17" spans="1:20" x14ac:dyDescent="0.3">
      <c r="A17" t="s">
        <v>55</v>
      </c>
      <c r="B17" s="13"/>
      <c r="C17" s="51">
        <f>COUNTIFS('Solution Category Requirements'!$A$21:$A$342,"&gt;"&amp;C12,'Solution Category Requirements'!$A$21:$A$342,"&lt;"&amp;D12)</f>
        <v>9</v>
      </c>
      <c r="D17" s="51">
        <f>COUNTIFS('Solution Category Requirements'!$A$21:$A$342,"&gt;"&amp;D12,'Solution Category Requirements'!$A$21:$A$342,"&lt;"&amp;E12)</f>
        <v>7</v>
      </c>
      <c r="E17" s="51">
        <f>COUNTIFS('Solution Category Requirements'!$A$21:$A$342,"&gt;"&amp;E12,'Solution Category Requirements'!$A$21:$A$342,"&lt;"&amp;F12)</f>
        <v>10</v>
      </c>
      <c r="F17" s="51">
        <f>COUNTIFS('Solution Category Requirements'!$A$21:$A$342,"&gt;"&amp;F12,'Solution Category Requirements'!$A$21:$A$342,"&lt;"&amp;G12)</f>
        <v>13</v>
      </c>
      <c r="G17" s="51">
        <f>COUNTIFS('Solution Category Requirements'!$A$21:$A$342,"&gt;"&amp;G12,'Solution Category Requirements'!$A$21:$A$342,"&lt;"&amp;H12)</f>
        <v>12</v>
      </c>
      <c r="H17" s="51">
        <f>COUNTIFS('Solution Category Requirements'!$A$21:$A$342,"&gt;"&amp;H12,'Solution Category Requirements'!$A$21:$A$342,"&lt;"&amp;I12)</f>
        <v>0</v>
      </c>
      <c r="I17" s="51">
        <f>COUNTIFS('Solution Category Requirements'!$A$21:$A$342,"&gt;"&amp;I12,'Solution Category Requirements'!$A$21:$A$342,"&lt;"&amp;J12)</f>
        <v>0</v>
      </c>
      <c r="J17" s="51">
        <f>COUNTIFS('Solution Category Requirements'!$A$21:$A$342,"&gt;"&amp;J12,'Solution Category Requirements'!$A$21:$A$342,"&lt;"&amp;K12)</f>
        <v>0</v>
      </c>
      <c r="K17" s="51">
        <f>COUNTIFS('Solution Category Requirements'!$A$21:$A$342,"&gt;"&amp;K12,'Solution Category Requirements'!$A$21:$A$342,"&lt;"&amp;L12)</f>
        <v>0</v>
      </c>
      <c r="L17" s="51">
        <f>COUNTIFS('Solution Category Requirements'!$A$21:$A$342,"&gt;"&amp;L12,'Solution Category Requirements'!$A$21:$A$342,"&lt;"&amp;M12)</f>
        <v>0</v>
      </c>
      <c r="M17" s="51">
        <f>COUNTIFS('Solution Category Requirements'!$A$21:$A$342,"&gt;"&amp;M12,'Solution Category Requirements'!$A$21:$A$342,"&lt;"&amp;N12)</f>
        <v>0</v>
      </c>
      <c r="N17" s="51">
        <f>COUNTIFS('Solution Category Requirements'!$A$21:$A$342,"&gt;"&amp;N12,'Solution Category Requirements'!$A$21:$A$342,"&lt;"&amp;O12)</f>
        <v>0</v>
      </c>
      <c r="O17" s="51">
        <f>COUNTIFS('Solution Category Requirements'!$A$21:$A$342,"&gt;"&amp;O12,'Solution Category Requirements'!$A$21:$A$342,"&lt;"&amp;P12)</f>
        <v>0</v>
      </c>
      <c r="P17" s="51">
        <f>COUNTIFS('Solution Category Requirements'!$A$21:$A$342,"&gt;"&amp;P12,'Solution Category Requirements'!$A$21:$A$342,"&lt;"&amp;Q12)</f>
        <v>0</v>
      </c>
      <c r="Q17" s="51">
        <f>COUNTIFS('Solution Category Requirements'!$A$21:$A$342,"&gt;"&amp;Q12,'Solution Category Requirements'!$A$21:$A$342,"&lt;"&amp;R12)</f>
        <v>0</v>
      </c>
      <c r="R17" s="51">
        <f>COUNTIFS('Solution Category Requirements'!$A$21:$A$342,"&gt;"&amp;R12,'Solution Category Requirements'!$A$21:$A$342,"&lt;"&amp;S12)</f>
        <v>0</v>
      </c>
    </row>
    <row r="19" spans="1:20" x14ac:dyDescent="0.3">
      <c r="A19" t="s">
        <v>56</v>
      </c>
      <c r="C19" s="70">
        <f>MATCH(D12,'Solution Category Requirements'!$A$19:$A$342,0)-MATCH(C12,'Solution Category Requirements'!$A$19:$A$342,0)-1</f>
        <v>9</v>
      </c>
      <c r="D19" s="70">
        <f>MATCH(E12,'Solution Category Requirements'!$A$19:$A$342,0)-MATCH(D12,'Solution Category Requirements'!$A$19:$A$342,0)-1</f>
        <v>7</v>
      </c>
      <c r="E19" s="70">
        <f>MATCH(F12,'Solution Category Requirements'!$A$19:$A$342,0)-MATCH(E12,'Solution Category Requirements'!$A$19:$A$342,0)-1</f>
        <v>10</v>
      </c>
      <c r="F19" s="70">
        <f>MATCH(G12,'Solution Category Requirements'!$A$19:$A$342,0)-MATCH(F12,'Solution Category Requirements'!$A$19:$A$342,0)-1</f>
        <v>13</v>
      </c>
      <c r="G19" s="70" t="e">
        <f>MATCH(H12,'Solution Category Requirements'!$A$19:$A$342,0)-MATCH(G12,'Solution Category Requirements'!$A$19:$A$342,0)-1</f>
        <v>#N/A</v>
      </c>
      <c r="H19" s="70" t="e">
        <f>MATCH(I12,'Solution Category Requirements'!$A$19:$A$342,0)-MATCH(H12,'Solution Category Requirements'!$A$19:$A$342,0)-1</f>
        <v>#N/A</v>
      </c>
      <c r="I19" s="70" t="e">
        <f>MATCH(J12,'Solution Category Requirements'!$A$19:$A$342,0)-MATCH(I12,'Solution Category Requirements'!$A$19:$A$342,0)-1</f>
        <v>#N/A</v>
      </c>
      <c r="J19" s="70" t="e">
        <f>MATCH(K12,'Solution Category Requirements'!$A$19:$A$342,0)-MATCH(J12,'Solution Category Requirements'!$A$19:$A$342,0)-1</f>
        <v>#N/A</v>
      </c>
      <c r="K19" s="70" t="e">
        <f>MATCH(L12,'Solution Category Requirements'!$A$19:$A$342,0)-MATCH(K12,'Solution Category Requirements'!$A$19:$A$342,0)-1</f>
        <v>#N/A</v>
      </c>
      <c r="L19" s="70" t="e">
        <f>MATCH(M12,'Solution Category Requirements'!$A$19:$A$342,0)-MATCH(L12,'Solution Category Requirements'!$A$19:$A$342,0)-1</f>
        <v>#N/A</v>
      </c>
      <c r="M19" s="70" t="e">
        <f>MATCH(N12,'Solution Category Requirements'!$A$19:$A$342,0)-MATCH(M12,'Solution Category Requirements'!$A$19:$A$342,0)-1</f>
        <v>#N/A</v>
      </c>
      <c r="N19" s="70" t="e">
        <f>MATCH(O12,'Solution Category Requirements'!$A$20:$A$342,0)-MATCH(N12,'Solution Category Requirements'!$A$20:$A$342,0)-1</f>
        <v>#N/A</v>
      </c>
      <c r="O19" s="70" t="e">
        <f>MATCH(P12,'Solution Category Requirements'!$A$21:$A$342,0)-MATCH(O12,'Solution Category Requirements'!$A$21:$A$342,0)-1</f>
        <v>#N/A</v>
      </c>
      <c r="P19" s="70" t="e">
        <f>MATCH(Q12,'Solution Category Requirements'!$A$22:$A$342,0)-MATCH(P12,'Solution Category Requirements'!$A$22:$A$342,0)-1</f>
        <v>#N/A</v>
      </c>
      <c r="Q19" s="70" t="e">
        <f>MATCH(R12,'Solution Category Requirements'!$A$23:$A$342,0)-MATCH(Q12,'Solution Category Requirements'!$A$23:$A$342,0)-1</f>
        <v>#N/A</v>
      </c>
      <c r="R19" s="70" t="e">
        <f>MATCH(S12,'Solution Category Requirements'!$A$24:$A$342,0)-MATCH(R12,'Solution Category Requirements'!$A$24:$A$342,0)-1</f>
        <v>#N/A</v>
      </c>
      <c r="T19" t="s">
        <v>71</v>
      </c>
    </row>
    <row r="20" spans="1:20" x14ac:dyDescent="0.3">
      <c r="T20" t="s">
        <v>72</v>
      </c>
    </row>
    <row r="21" spans="1:20" x14ac:dyDescent="0.3">
      <c r="A21" t="s">
        <v>57</v>
      </c>
    </row>
    <row r="22" spans="1:20" x14ac:dyDescent="0.3">
      <c r="B22" t="s">
        <v>5</v>
      </c>
      <c r="C22" t="s">
        <v>58</v>
      </c>
      <c r="D22" t="s">
        <v>59</v>
      </c>
      <c r="E22" t="s">
        <v>60</v>
      </c>
    </row>
    <row r="23" spans="1:20" x14ac:dyDescent="0.3">
      <c r="A23" t="s">
        <v>61</v>
      </c>
      <c r="B23">
        <f>'General Assessment'!A7</f>
        <v>0</v>
      </c>
      <c r="C23">
        <f>'Solution Category Requirements'!A10</f>
        <v>0</v>
      </c>
    </row>
    <row r="24" spans="1:20" x14ac:dyDescent="0.3">
      <c r="A24" t="s">
        <v>62</v>
      </c>
      <c r="B24">
        <f>'General Assessment'!A8</f>
        <v>0</v>
      </c>
      <c r="C24">
        <f>'Solution Category Requirements'!A11</f>
        <v>0</v>
      </c>
      <c r="D24">
        <f>J3</f>
        <v>5</v>
      </c>
    </row>
    <row r="25" spans="1:20" x14ac:dyDescent="0.3">
      <c r="A25" t="s">
        <v>60</v>
      </c>
      <c r="B25">
        <f>SUM(B23:B24)</f>
        <v>0</v>
      </c>
      <c r="C25">
        <f>SUM(C23:C24)</f>
        <v>0</v>
      </c>
      <c r="D25">
        <f>SUM(D23:D24)</f>
        <v>5</v>
      </c>
      <c r="E25">
        <f>SUM(B25:D25)</f>
        <v>5</v>
      </c>
    </row>
    <row r="29" spans="1:20" x14ac:dyDescent="0.3">
      <c r="A29" s="22"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B16" sqref="B16"/>
    </sheetView>
  </sheetViews>
  <sheetFormatPr defaultRowHeight="14.4" x14ac:dyDescent="0.3"/>
  <cols>
    <col min="1" max="1" width="55.44140625" bestFit="1" customWidth="1"/>
    <col min="2" max="2" width="36.77734375" customWidth="1"/>
    <col min="3" max="3" width="33" customWidth="1"/>
  </cols>
  <sheetData>
    <row r="1" spans="1:6" x14ac:dyDescent="0.3">
      <c r="A1" s="35" t="s">
        <v>63</v>
      </c>
      <c r="F1">
        <v>0</v>
      </c>
    </row>
    <row r="2" spans="1:6" x14ac:dyDescent="0.3">
      <c r="F2">
        <v>1</v>
      </c>
    </row>
    <row r="3" spans="1:6" x14ac:dyDescent="0.3">
      <c r="A3" t="s">
        <v>105</v>
      </c>
      <c r="B3" t="s">
        <v>67</v>
      </c>
      <c r="C3" t="s">
        <v>68</v>
      </c>
      <c r="F3">
        <v>2</v>
      </c>
    </row>
    <row r="4" spans="1:6" x14ac:dyDescent="0.3">
      <c r="A4" t="s">
        <v>106</v>
      </c>
      <c r="B4" t="s">
        <v>64</v>
      </c>
      <c r="C4" t="s">
        <v>65</v>
      </c>
      <c r="D4" t="s">
        <v>69</v>
      </c>
      <c r="F4">
        <v>3</v>
      </c>
    </row>
    <row r="5" spans="1:6" x14ac:dyDescent="0.3">
      <c r="A5" t="s">
        <v>107</v>
      </c>
      <c r="B5" t="s">
        <v>108</v>
      </c>
      <c r="C5" t="s">
        <v>66</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6A6D6B6A-0191-415F-8AFB-14820FAC4BA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H29" sqref="H29"/>
    </sheetView>
  </sheetViews>
  <sheetFormatPr defaultColWidth="9.21875" defaultRowHeight="14.4" x14ac:dyDescent="0.3"/>
  <cols>
    <col min="1" max="1" width="14.5546875" style="1" customWidth="1"/>
    <col min="2" max="16384" width="9.21875" style="1"/>
  </cols>
  <sheetData>
    <row r="1" spans="1:1" x14ac:dyDescent="0.3">
      <c r="A1" s="1" t="s">
        <v>70</v>
      </c>
    </row>
    <row r="2" spans="1:1" x14ac:dyDescent="0.3">
      <c r="A2" s="1" t="s">
        <v>50</v>
      </c>
    </row>
    <row r="3" spans="1:1" x14ac:dyDescent="0.3">
      <c r="A3" s="1" t="s">
        <v>51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93BB2C-9572-4052-B0A1-88BE5C0BA4EF}">
  <ds:schemaRefs>
    <ds:schemaRef ds:uri="http://schemas.microsoft.com/office/2006/documentManagement/types"/>
    <ds:schemaRef ds:uri="http://www.w3.org/XML/1998/namespace"/>
    <ds:schemaRef ds:uri="http://purl.org/dc/dcmitype/"/>
    <ds:schemaRef ds:uri="http://schemas.microsoft.com/office/2006/metadata/properties"/>
    <ds:schemaRef ds:uri="http://purl.org/dc/terms/"/>
    <ds:schemaRef ds:uri="http://schemas.microsoft.com/office/infopath/2007/PartnerControls"/>
    <ds:schemaRef ds:uri="http://purl.org/dc/elements/1.1/"/>
    <ds:schemaRef ds:uri="http://schemas.openxmlformats.org/package/2006/metadata/core-properties"/>
    <ds:schemaRef ds:uri="388bccd0-021a-467f-a5da-ec7dfa5bc485"/>
  </ds:schemaRefs>
</ds:datastoreItem>
</file>

<file path=customXml/itemProps2.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3.xml><?xml version="1.0" encoding="utf-8"?>
<ds:datastoreItem xmlns:ds="http://schemas.openxmlformats.org/officeDocument/2006/customXml" ds:itemID="{E7302877-3448-4023-ADC6-9CACE9F459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2025-04-21T05:59:40Z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